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autoCompressPictures="0" defaultThemeVersion="124226"/>
  <mc:AlternateContent xmlns:mc="http://schemas.openxmlformats.org/markup-compatibility/2006">
    <mc:Choice Requires="x15">
      <x15ac:absPath xmlns:x15ac="http://schemas.microsoft.com/office/spreadsheetml/2010/11/ac" url="C:\Users\charl\Dropbox\AAII\Rebalancing\"/>
    </mc:Choice>
  </mc:AlternateContent>
  <bookViews>
    <workbookView xWindow="0" yWindow="60" windowWidth="20730" windowHeight="11760" tabRatio="892" activeTab="2"/>
  </bookViews>
  <sheets>
    <sheet name="Instructions" sheetId="2" r:id="rId1"/>
    <sheet name="Notes" sheetId="3" r:id="rId2"/>
    <sheet name="Summary" sheetId="8" r:id="rId3"/>
    <sheet name="Geometric Fund Returns" sheetId="15" r:id="rId4"/>
    <sheet name="Non-Rebalanced Portfolio" sheetId="1" r:id="rId5"/>
    <sheet name="Rebalanced Portfolio" sheetId="4" r:id="rId6"/>
    <sheet name="Panic Portfolio" sheetId="7" r:id="rId7"/>
    <sheet name="4% Withdrawals-No Rebalancing" sheetId="9" r:id="rId8"/>
    <sheet name="4% Withdrawals-Rebalanced" sheetId="10" r:id="rId9"/>
    <sheet name="4% Withdrawals-Panic" sheetId="12" r:id="rId10"/>
    <sheet name="Staying Invested Chart" sheetId="14" r:id="rId11"/>
    <sheet name="Chart Data" sheetId="13" r:id="rId12"/>
  </sheet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A20" i="15" l="1"/>
  <c r="B20" i="15"/>
  <c r="D20" i="15"/>
  <c r="E20" i="15"/>
  <c r="G20" i="15"/>
  <c r="H20" i="15"/>
  <c r="A21" i="15"/>
  <c r="B21" i="15"/>
  <c r="D21" i="15"/>
  <c r="E21" i="15"/>
  <c r="G21" i="15"/>
  <c r="H21" i="15"/>
  <c r="A18" i="13"/>
  <c r="B18" i="13"/>
  <c r="C18" i="13"/>
  <c r="D18" i="13"/>
  <c r="A19" i="13"/>
  <c r="B19" i="13"/>
  <c r="C19" i="13"/>
  <c r="D19" i="13"/>
  <c r="AS42" i="12"/>
  <c r="AT42" i="12"/>
  <c r="AV42" i="12"/>
  <c r="AW42" i="12"/>
  <c r="AY42" i="12"/>
  <c r="AZ42" i="12"/>
  <c r="BA42" i="12"/>
  <c r="BB42" i="12"/>
  <c r="AS43" i="12"/>
  <c r="AG42" i="12"/>
  <c r="AH42" i="12"/>
  <c r="AJ42" i="12"/>
  <c r="AK42" i="12"/>
  <c r="AM42" i="12"/>
  <c r="AN42" i="12"/>
  <c r="AO42" i="12"/>
  <c r="AQ42" i="12" s="1"/>
  <c r="AP42" i="12"/>
  <c r="AG43" i="12"/>
  <c r="R42" i="12"/>
  <c r="S42" i="12"/>
  <c r="U42" i="12"/>
  <c r="V42" i="12"/>
  <c r="X42" i="12"/>
  <c r="Y42" i="12"/>
  <c r="Z42" i="12"/>
  <c r="AD42" i="12" s="1"/>
  <c r="AA42" i="12"/>
  <c r="AB42" i="12" s="1"/>
  <c r="AC42" i="12" s="1"/>
  <c r="R43" i="12"/>
  <c r="X43" i="12"/>
  <c r="AY43" i="12" s="1"/>
  <c r="A42" i="12"/>
  <c r="B42" i="12"/>
  <c r="D42" i="12"/>
  <c r="E42" i="12"/>
  <c r="G42" i="12"/>
  <c r="H42" i="12"/>
  <c r="I42" i="12"/>
  <c r="J42" i="12"/>
  <c r="K42" i="12" s="1"/>
  <c r="L42" i="12" s="1"/>
  <c r="N42" i="12"/>
  <c r="O42" i="12"/>
  <c r="A43" i="12"/>
  <c r="B43" i="12"/>
  <c r="D43" i="12"/>
  <c r="U43" i="12" s="1"/>
  <c r="E43" i="12"/>
  <c r="V43" i="12" s="1"/>
  <c r="G43" i="12"/>
  <c r="H43" i="12"/>
  <c r="Y43" i="12" s="1"/>
  <c r="N43" i="12"/>
  <c r="O43" i="12"/>
  <c r="A19" i="12"/>
  <c r="B19" i="12"/>
  <c r="D19" i="12"/>
  <c r="E19" i="12"/>
  <c r="G19" i="12"/>
  <c r="H19" i="12"/>
  <c r="N19" i="12"/>
  <c r="O19" i="12"/>
  <c r="A20" i="12"/>
  <c r="B20" i="12"/>
  <c r="D20" i="12"/>
  <c r="E20" i="12"/>
  <c r="G20" i="12"/>
  <c r="H20" i="12"/>
  <c r="N20" i="12"/>
  <c r="O20" i="12"/>
  <c r="AS43" i="10"/>
  <c r="AT43" i="10"/>
  <c r="AV43" i="10"/>
  <c r="AW43" i="10"/>
  <c r="AY43" i="10"/>
  <c r="AZ43" i="10"/>
  <c r="BA43" i="10"/>
  <c r="BC43" i="10"/>
  <c r="BD43" i="10"/>
  <c r="BF43" i="10"/>
  <c r="BG43" i="10"/>
  <c r="BI43" i="10"/>
  <c r="BJ43" i="10"/>
  <c r="BK43" i="10"/>
  <c r="BL42" i="10"/>
  <c r="BK42" i="10"/>
  <c r="BJ42" i="10"/>
  <c r="BI42" i="10"/>
  <c r="BG42" i="10"/>
  <c r="BF42" i="10"/>
  <c r="BD42" i="10"/>
  <c r="B43" i="10" s="1"/>
  <c r="BC42" i="10"/>
  <c r="BA42" i="10"/>
  <c r="AZ42" i="10"/>
  <c r="AY42" i="10"/>
  <c r="AW42" i="10"/>
  <c r="AV42" i="10"/>
  <c r="AT42" i="10"/>
  <c r="AS42" i="10"/>
  <c r="AG42" i="10"/>
  <c r="AH42" i="10"/>
  <c r="AJ42" i="10"/>
  <c r="AK42" i="10"/>
  <c r="AM42" i="10"/>
  <c r="AO42" i="10" s="1"/>
  <c r="AQ42" i="10" s="1"/>
  <c r="AN42" i="10"/>
  <c r="AP42" i="10"/>
  <c r="AG43" i="10"/>
  <c r="R42" i="10"/>
  <c r="S42" i="10"/>
  <c r="U42" i="10"/>
  <c r="V42" i="10"/>
  <c r="X42" i="10"/>
  <c r="Y42" i="10"/>
  <c r="Z42" i="10"/>
  <c r="AD42" i="10" s="1"/>
  <c r="AA42" i="10"/>
  <c r="AB42" i="10" s="1"/>
  <c r="AC42" i="10" s="1"/>
  <c r="R43" i="10"/>
  <c r="U43" i="10"/>
  <c r="V43" i="10"/>
  <c r="X43" i="10"/>
  <c r="A42" i="10"/>
  <c r="B42" i="10"/>
  <c r="D42" i="10"/>
  <c r="I42" i="10" s="1"/>
  <c r="J42" i="10" s="1"/>
  <c r="K42" i="10" s="1"/>
  <c r="L42" i="10" s="1"/>
  <c r="E42" i="10"/>
  <c r="G42" i="10"/>
  <c r="H42" i="10"/>
  <c r="N42" i="10"/>
  <c r="O42" i="10"/>
  <c r="A43" i="10"/>
  <c r="D43" i="10"/>
  <c r="E43" i="10"/>
  <c r="G43" i="10"/>
  <c r="H43" i="10"/>
  <c r="Y43" i="10" s="1"/>
  <c r="N43" i="10"/>
  <c r="O43" i="10"/>
  <c r="A20" i="10"/>
  <c r="B20" i="10"/>
  <c r="D20" i="10"/>
  <c r="E20" i="10"/>
  <c r="G20" i="10"/>
  <c r="H20" i="10"/>
  <c r="N20" i="10"/>
  <c r="O20" i="10"/>
  <c r="Y43" i="9"/>
  <c r="X43" i="9"/>
  <c r="U43" i="9"/>
  <c r="S43" i="9"/>
  <c r="V43" i="9"/>
  <c r="AG42" i="9"/>
  <c r="AH42" i="9"/>
  <c r="AJ42" i="9"/>
  <c r="AK42" i="9"/>
  <c r="AM42" i="9"/>
  <c r="AN42" i="9"/>
  <c r="AO42" i="9"/>
  <c r="AP42" i="9"/>
  <c r="AQ42" i="9"/>
  <c r="AG43" i="9"/>
  <c r="R42" i="9"/>
  <c r="S42" i="9"/>
  <c r="U42" i="9"/>
  <c r="V42" i="9"/>
  <c r="E43" i="9" s="1"/>
  <c r="X42" i="9"/>
  <c r="Y42" i="9"/>
  <c r="R43" i="9"/>
  <c r="O44" i="9"/>
  <c r="A42" i="9"/>
  <c r="N42" i="9" s="1"/>
  <c r="B42" i="9"/>
  <c r="D42" i="9"/>
  <c r="E42" i="9"/>
  <c r="G42" i="9"/>
  <c r="H42" i="9"/>
  <c r="I42" i="9"/>
  <c r="J42" i="9"/>
  <c r="K42" i="9" s="1"/>
  <c r="L42" i="9" s="1"/>
  <c r="O42" i="9"/>
  <c r="A43" i="9"/>
  <c r="B43" i="9"/>
  <c r="D43" i="9"/>
  <c r="G43" i="9"/>
  <c r="H43" i="9"/>
  <c r="N43" i="9"/>
  <c r="O43" i="9"/>
  <c r="A20" i="9"/>
  <c r="B20" i="9"/>
  <c r="D20" i="9"/>
  <c r="E20" i="9"/>
  <c r="F20" i="9"/>
  <c r="G20" i="9"/>
  <c r="H20" i="9"/>
  <c r="I47" i="7"/>
  <c r="I52" i="7"/>
  <c r="AA42" i="7"/>
  <c r="AB42" i="7"/>
  <c r="AD42" i="7"/>
  <c r="D43" i="7" s="1"/>
  <c r="AE42" i="7"/>
  <c r="E43" i="7" s="1"/>
  <c r="AG42" i="7"/>
  <c r="G43" i="7" s="1"/>
  <c r="AH42" i="7"/>
  <c r="AA43" i="7"/>
  <c r="O42" i="7"/>
  <c r="P42" i="7"/>
  <c r="R42" i="7"/>
  <c r="S42" i="7"/>
  <c r="U42" i="7"/>
  <c r="V42" i="7"/>
  <c r="W42" i="7"/>
  <c r="Y42" i="7" s="1"/>
  <c r="X42" i="7"/>
  <c r="O43" i="7"/>
  <c r="A42" i="7"/>
  <c r="B42" i="7"/>
  <c r="D42" i="7"/>
  <c r="E42" i="7"/>
  <c r="G42" i="7"/>
  <c r="H42" i="7"/>
  <c r="I42" i="7"/>
  <c r="J42" i="7" s="1"/>
  <c r="K42" i="7" s="1"/>
  <c r="L42" i="7" s="1"/>
  <c r="A43" i="7"/>
  <c r="B43" i="7"/>
  <c r="H43" i="7"/>
  <c r="AH43" i="7" s="1"/>
  <c r="A20" i="7"/>
  <c r="B20" i="7"/>
  <c r="D20" i="7"/>
  <c r="E20" i="7"/>
  <c r="F20" i="7"/>
  <c r="G20" i="7"/>
  <c r="H20" i="7"/>
  <c r="A42" i="4"/>
  <c r="B42" i="4"/>
  <c r="C42" i="4"/>
  <c r="D42" i="4"/>
  <c r="E42" i="4"/>
  <c r="G42" i="4"/>
  <c r="H42" i="4"/>
  <c r="I42" i="4"/>
  <c r="J42" i="4" s="1"/>
  <c r="K42" i="4" s="1"/>
  <c r="L42" i="4" s="1"/>
  <c r="A43" i="4"/>
  <c r="C43" i="4"/>
  <c r="A20" i="4"/>
  <c r="B20" i="4"/>
  <c r="D20" i="4"/>
  <c r="E20" i="4"/>
  <c r="F20" i="4"/>
  <c r="G20" i="4"/>
  <c r="H20" i="4"/>
  <c r="AK43" i="4"/>
  <c r="O43" i="4"/>
  <c r="AA43" i="4" s="1"/>
  <c r="I47" i="1"/>
  <c r="I52" i="1"/>
  <c r="V43" i="1"/>
  <c r="U43" i="1"/>
  <c r="S43" i="1"/>
  <c r="R43" i="1"/>
  <c r="P43" i="1"/>
  <c r="X43" i="1" s="1"/>
  <c r="O43" i="1"/>
  <c r="V42" i="1"/>
  <c r="U42" i="1"/>
  <c r="S42" i="1"/>
  <c r="R42" i="1"/>
  <c r="P42" i="1"/>
  <c r="W42" i="1" s="1"/>
  <c r="O42" i="1"/>
  <c r="A42" i="1"/>
  <c r="B42" i="1"/>
  <c r="I42" i="1" s="1"/>
  <c r="J42" i="1" s="1"/>
  <c r="K42" i="1" s="1"/>
  <c r="L42" i="1" s="1"/>
  <c r="D42" i="1"/>
  <c r="D43" i="1" s="1"/>
  <c r="E42" i="1"/>
  <c r="E43" i="1" s="1"/>
  <c r="G42" i="1"/>
  <c r="H42" i="1"/>
  <c r="A43" i="1"/>
  <c r="B43" i="1"/>
  <c r="G43" i="1"/>
  <c r="H43" i="1"/>
  <c r="AZ43" i="12" l="1"/>
  <c r="AW43" i="12"/>
  <c r="AV43" i="12"/>
  <c r="I43" i="12"/>
  <c r="S43" i="12"/>
  <c r="I43" i="10"/>
  <c r="I54" i="10" s="1"/>
  <c r="S43" i="10"/>
  <c r="J43" i="10"/>
  <c r="K43" i="10" s="1"/>
  <c r="L43" i="10" s="1"/>
  <c r="Z42" i="9"/>
  <c r="I43" i="9"/>
  <c r="AE43" i="7"/>
  <c r="AG43" i="7"/>
  <c r="AD43" i="7"/>
  <c r="I43" i="7"/>
  <c r="J43" i="7" s="1"/>
  <c r="K43" i="7" s="1"/>
  <c r="L43" i="7" s="1"/>
  <c r="AI42" i="7"/>
  <c r="AJ42" i="7" s="1"/>
  <c r="AB43" i="7"/>
  <c r="W43" i="1"/>
  <c r="Y43" i="1" s="1"/>
  <c r="X42" i="1"/>
  <c r="Y42" i="1" s="1"/>
  <c r="I43" i="1"/>
  <c r="J43" i="1" s="1"/>
  <c r="K43" i="1" s="1"/>
  <c r="L43" i="1" s="1"/>
  <c r="A19" i="15"/>
  <c r="B19" i="15"/>
  <c r="D19" i="15"/>
  <c r="E19" i="15"/>
  <c r="G19" i="15"/>
  <c r="H19" i="15"/>
  <c r="N19" i="10"/>
  <c r="O19" i="10"/>
  <c r="H19" i="10"/>
  <c r="G19" i="10"/>
  <c r="E19" i="10"/>
  <c r="D19" i="10"/>
  <c r="B19" i="10"/>
  <c r="A19" i="10"/>
  <c r="H19" i="9"/>
  <c r="G19" i="9"/>
  <c r="F19" i="9"/>
  <c r="E19" i="9"/>
  <c r="D19" i="9"/>
  <c r="B19" i="9"/>
  <c r="A19" i="9"/>
  <c r="H19" i="7"/>
  <c r="G19" i="7"/>
  <c r="F19" i="7"/>
  <c r="E19" i="7"/>
  <c r="D19" i="7"/>
  <c r="B19" i="7"/>
  <c r="A19" i="7"/>
  <c r="A19" i="4"/>
  <c r="B19" i="4"/>
  <c r="D19" i="4"/>
  <c r="E19" i="4"/>
  <c r="F19" i="4"/>
  <c r="G19" i="4"/>
  <c r="H19" i="4"/>
  <c r="J43" i="12" l="1"/>
  <c r="K43" i="12" s="1"/>
  <c r="L43" i="12" s="1"/>
  <c r="I54" i="12"/>
  <c r="Z43" i="12"/>
  <c r="AH43" i="12" s="1"/>
  <c r="AT43" i="12"/>
  <c r="Z43" i="10"/>
  <c r="AH43" i="10"/>
  <c r="Z43" i="9"/>
  <c r="AD43" i="9" s="1"/>
  <c r="J43" i="9"/>
  <c r="K43" i="9" s="1"/>
  <c r="L43" i="9" s="1"/>
  <c r="I54" i="9"/>
  <c r="AD42" i="9"/>
  <c r="AA42" i="9"/>
  <c r="AB42" i="9" s="1"/>
  <c r="AC42" i="9" s="1"/>
  <c r="P43" i="7"/>
  <c r="S43" i="7"/>
  <c r="R43" i="7"/>
  <c r="U43" i="7"/>
  <c r="AI43" i="7"/>
  <c r="AJ43" i="7" s="1"/>
  <c r="V43" i="7"/>
  <c r="O42" i="4"/>
  <c r="AA42" i="4" s="1"/>
  <c r="AK42" i="4"/>
  <c r="BN43" i="12"/>
  <c r="A17" i="12"/>
  <c r="A40" i="12" s="1"/>
  <c r="B17" i="12"/>
  <c r="D17" i="12"/>
  <c r="E17" i="12"/>
  <c r="G17" i="12"/>
  <c r="H17" i="12"/>
  <c r="N17" i="12"/>
  <c r="O17" i="12"/>
  <c r="A18" i="12"/>
  <c r="A41" i="12" s="1"/>
  <c r="B18" i="12"/>
  <c r="D18" i="12"/>
  <c r="E18" i="12"/>
  <c r="G18" i="12"/>
  <c r="H18" i="12"/>
  <c r="N18" i="12"/>
  <c r="O18" i="12"/>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A40" i="10" s="1"/>
  <c r="B17" i="10"/>
  <c r="D17" i="10"/>
  <c r="E17" i="10"/>
  <c r="G17" i="10"/>
  <c r="H17" i="10"/>
  <c r="A18" i="10"/>
  <c r="A41" i="10" s="1"/>
  <c r="B18" i="10"/>
  <c r="D18" i="10"/>
  <c r="E18" i="10"/>
  <c r="G18" i="10"/>
  <c r="H18" i="10"/>
  <c r="A18" i="9"/>
  <c r="A41" i="9" s="1"/>
  <c r="B18" i="9"/>
  <c r="C18" i="9"/>
  <c r="D18" i="9"/>
  <c r="E18" i="9"/>
  <c r="F18" i="9"/>
  <c r="G18" i="9"/>
  <c r="H18" i="9"/>
  <c r="A18" i="7"/>
  <c r="A41" i="7" s="1"/>
  <c r="O41" i="7" s="1"/>
  <c r="AA41" i="7" s="1"/>
  <c r="B18" i="7"/>
  <c r="C18" i="7"/>
  <c r="D18" i="7"/>
  <c r="E18" i="7"/>
  <c r="F18" i="7"/>
  <c r="G18" i="7"/>
  <c r="H18" i="7"/>
  <c r="C40" i="4"/>
  <c r="C41" i="4"/>
  <c r="A18" i="4"/>
  <c r="A41" i="4" s="1"/>
  <c r="A17" i="13" s="1"/>
  <c r="B18" i="4"/>
  <c r="D18" i="4"/>
  <c r="E18" i="4"/>
  <c r="F18" i="4"/>
  <c r="G18" i="4"/>
  <c r="H18" i="4"/>
  <c r="A40" i="1"/>
  <c r="O40" i="1" s="1"/>
  <c r="A41" i="1"/>
  <c r="O41" i="1" s="1"/>
  <c r="BA43" i="12" l="1"/>
  <c r="BB43" i="12"/>
  <c r="AD43" i="12"/>
  <c r="AN43" i="12"/>
  <c r="AA43" i="12"/>
  <c r="AB43" i="12" s="1"/>
  <c r="AC43" i="12" s="1"/>
  <c r="AK43" i="12"/>
  <c r="AJ43" i="12"/>
  <c r="AP43" i="12" s="1"/>
  <c r="AM43" i="12"/>
  <c r="AJ43" i="10"/>
  <c r="AO43" i="10" s="1"/>
  <c r="AK43" i="10"/>
  <c r="AA43" i="10"/>
  <c r="AB43" i="10" s="1"/>
  <c r="AC43" i="10" s="1"/>
  <c r="AD43" i="10"/>
  <c r="AM43" i="10"/>
  <c r="AP43" i="10" s="1"/>
  <c r="AN43" i="10"/>
  <c r="AA43" i="9"/>
  <c r="AB43" i="9" s="1"/>
  <c r="AC43" i="9" s="1"/>
  <c r="AH43" i="9"/>
  <c r="AJ43" i="9"/>
  <c r="AN43" i="9"/>
  <c r="AK43" i="9"/>
  <c r="AM43" i="9"/>
  <c r="X43" i="7"/>
  <c r="W43" i="7"/>
  <c r="Y43" i="7" s="1"/>
  <c r="AK41" i="4"/>
  <c r="O41" i="4"/>
  <c r="AA41" i="4" s="1"/>
  <c r="AG40" i="12"/>
  <c r="AS40" i="12"/>
  <c r="N40" i="12"/>
  <c r="R40" i="12"/>
  <c r="N41" i="12"/>
  <c r="R41" i="12"/>
  <c r="AS41" i="12"/>
  <c r="AG41" i="12"/>
  <c r="AG41" i="9"/>
  <c r="N41" i="9"/>
  <c r="R41" i="9"/>
  <c r="AG40" i="10"/>
  <c r="AS40" i="10" s="1"/>
  <c r="BC40" i="10" s="1"/>
  <c r="R40" i="10"/>
  <c r="N40" i="10"/>
  <c r="AG41" i="10"/>
  <c r="AS41" i="10" s="1"/>
  <c r="BC41" i="10" s="1"/>
  <c r="R41" i="10"/>
  <c r="N41" i="10"/>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6" i="9"/>
  <c r="X26" i="9" s="1"/>
  <c r="G4" i="9"/>
  <c r="G5" i="9"/>
  <c r="G6" i="9"/>
  <c r="G7" i="9"/>
  <c r="G8" i="9"/>
  <c r="G9" i="9"/>
  <c r="G10" i="9"/>
  <c r="G11" i="9"/>
  <c r="G12" i="9"/>
  <c r="G13" i="9"/>
  <c r="G14" i="9"/>
  <c r="G15" i="9"/>
  <c r="G16" i="9"/>
  <c r="B26" i="9"/>
  <c r="S26" i="9" s="1"/>
  <c r="B4" i="9"/>
  <c r="D26" i="9"/>
  <c r="U26" i="9" s="1"/>
  <c r="D4" i="9"/>
  <c r="E26" i="9"/>
  <c r="E4" i="9"/>
  <c r="H26" i="9"/>
  <c r="Y26" i="9" s="1"/>
  <c r="H4" i="9"/>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28" i="9" s="1"/>
  <c r="AG28" i="9" s="1"/>
  <c r="A6" i="9"/>
  <c r="A29" i="9" s="1"/>
  <c r="R29" i="9" s="1"/>
  <c r="A7" i="9"/>
  <c r="A30" i="9" s="1"/>
  <c r="A8" i="9"/>
  <c r="A31" i="9" s="1"/>
  <c r="AG31" i="9" s="1"/>
  <c r="A9" i="9"/>
  <c r="A32" i="9" s="1"/>
  <c r="AG32" i="9" s="1"/>
  <c r="A10" i="9"/>
  <c r="A33" i="9" s="1"/>
  <c r="AG33" i="9" s="1"/>
  <c r="A11" i="9"/>
  <c r="A34" i="9" s="1"/>
  <c r="N34" i="9" s="1"/>
  <c r="A12" i="9"/>
  <c r="A35" i="9" s="1"/>
  <c r="R35" i="9" s="1"/>
  <c r="A13" i="9"/>
  <c r="A14" i="9"/>
  <c r="A37" i="9" s="1"/>
  <c r="R37" i="9" s="1"/>
  <c r="A15" i="9"/>
  <c r="A38" i="9" s="1"/>
  <c r="N38" i="9" s="1"/>
  <c r="A16" i="9"/>
  <c r="A39" i="9" s="1"/>
  <c r="A17" i="9"/>
  <c r="A40" i="9" s="1"/>
  <c r="A4" i="9"/>
  <c r="A27" i="9" s="1"/>
  <c r="N27" i="9" s="1"/>
  <c r="C2" i="9"/>
  <c r="C24" i="9" s="1"/>
  <c r="D2" i="9"/>
  <c r="D24" i="9" s="1"/>
  <c r="E2" i="9"/>
  <c r="E24" i="9" s="1"/>
  <c r="V24" i="9" s="1"/>
  <c r="F2" i="9"/>
  <c r="F24" i="9" s="1"/>
  <c r="W24" i="9" s="1"/>
  <c r="G2" i="9"/>
  <c r="G24" i="9" s="1"/>
  <c r="H2" i="9"/>
  <c r="H24" i="9" s="1"/>
  <c r="Y24" i="9" s="1"/>
  <c r="C3" i="9"/>
  <c r="C25" i="9" s="1"/>
  <c r="D3" i="9"/>
  <c r="D25" i="9" s="1"/>
  <c r="E3" i="9"/>
  <c r="E25" i="9" s="1"/>
  <c r="V25" i="9" s="1"/>
  <c r="F3" i="9"/>
  <c r="F25" i="9" s="1"/>
  <c r="AL25" i="9" s="1"/>
  <c r="G3" i="9"/>
  <c r="G25" i="9" s="1"/>
  <c r="AM25" i="9" s="1"/>
  <c r="H3" i="9"/>
  <c r="H25" i="9" s="1"/>
  <c r="B2" i="9"/>
  <c r="B24" i="9" s="1"/>
  <c r="B3" i="9"/>
  <c r="B25" i="9" s="1"/>
  <c r="S25" i="9" s="1"/>
  <c r="A3" i="9"/>
  <c r="R26" i="9"/>
  <c r="R25" i="9"/>
  <c r="Z25" i="9"/>
  <c r="A36" i="9"/>
  <c r="BN25" i="12"/>
  <c r="BV25" i="12"/>
  <c r="BN26" i="12"/>
  <c r="BP26" i="12"/>
  <c r="BS26" i="12"/>
  <c r="BA24" i="12"/>
  <c r="BA25" i="12"/>
  <c r="B26" i="12"/>
  <c r="B4" i="12"/>
  <c r="D26" i="12"/>
  <c r="U26" i="12" s="1"/>
  <c r="D4" i="12"/>
  <c r="E26" i="12"/>
  <c r="E4" i="12"/>
  <c r="G26" i="12"/>
  <c r="X26" i="12" s="1"/>
  <c r="G4" i="12"/>
  <c r="H26" i="12"/>
  <c r="H4" i="12"/>
  <c r="B5" i="12"/>
  <c r="O5" i="12"/>
  <c r="B6" i="12"/>
  <c r="O6" i="12"/>
  <c r="D5" i="12"/>
  <c r="D6" i="12"/>
  <c r="E5" i="12"/>
  <c r="E6" i="12"/>
  <c r="G5" i="12"/>
  <c r="G6" i="12"/>
  <c r="H5" i="12"/>
  <c r="H6" i="12"/>
  <c r="H7" i="12"/>
  <c r="O7" i="12"/>
  <c r="Y26" i="12"/>
  <c r="H8" i="12"/>
  <c r="O8" i="12"/>
  <c r="G8" i="12"/>
  <c r="E8" i="12"/>
  <c r="E9" i="12"/>
  <c r="D8" i="12"/>
  <c r="B8" i="12"/>
  <c r="B9" i="12"/>
  <c r="G9" i="12"/>
  <c r="D9" i="12"/>
  <c r="G13" i="12"/>
  <c r="G36" i="12" s="1"/>
  <c r="E13" i="12"/>
  <c r="E36" i="12" s="1"/>
  <c r="D13" i="12"/>
  <c r="D36" i="12" s="1"/>
  <c r="B13" i="12"/>
  <c r="B36" i="12" s="1"/>
  <c r="O9" i="12"/>
  <c r="O10" i="12"/>
  <c r="O11" i="12"/>
  <c r="O12" i="12"/>
  <c r="O13" i="12"/>
  <c r="O14" i="12"/>
  <c r="O15" i="12"/>
  <c r="O16" i="12"/>
  <c r="G16" i="12"/>
  <c r="G15" i="12"/>
  <c r="G14" i="12"/>
  <c r="G12" i="12"/>
  <c r="G11" i="12"/>
  <c r="G10" i="12"/>
  <c r="G7" i="12"/>
  <c r="G30" i="12" s="1"/>
  <c r="E14" i="12"/>
  <c r="D14" i="12"/>
  <c r="E12" i="12"/>
  <c r="D12" i="12"/>
  <c r="E11" i="12"/>
  <c r="D11" i="12"/>
  <c r="E10" i="12"/>
  <c r="D10" i="12"/>
  <c r="E7" i="12"/>
  <c r="E30" i="12" s="1"/>
  <c r="D7" i="12"/>
  <c r="D30" i="12" s="1"/>
  <c r="AS26" i="12"/>
  <c r="W26" i="12"/>
  <c r="T26" i="12"/>
  <c r="R26" i="12"/>
  <c r="Z25" i="12"/>
  <c r="R25" i="12"/>
  <c r="H16" i="12"/>
  <c r="E16" i="12"/>
  <c r="D16" i="12"/>
  <c r="B16" i="12"/>
  <c r="A16" i="12"/>
  <c r="A39" i="12" s="1"/>
  <c r="AS39" i="12" s="1"/>
  <c r="H15" i="12"/>
  <c r="E15" i="12"/>
  <c r="D15" i="12"/>
  <c r="B15" i="12"/>
  <c r="A15" i="12"/>
  <c r="A38" i="12" s="1"/>
  <c r="N16" i="12"/>
  <c r="H14" i="12"/>
  <c r="B14" i="12"/>
  <c r="A14" i="12"/>
  <c r="A37" i="12" s="1"/>
  <c r="N15" i="12"/>
  <c r="H13" i="12"/>
  <c r="A13" i="12"/>
  <c r="A36" i="12" s="1"/>
  <c r="N14" i="12"/>
  <c r="H12" i="12"/>
  <c r="B12" i="12"/>
  <c r="A12" i="12"/>
  <c r="A35" i="12" s="1"/>
  <c r="AS35" i="12" s="1"/>
  <c r="N13" i="12"/>
  <c r="H11" i="12"/>
  <c r="B11" i="12"/>
  <c r="A11" i="12"/>
  <c r="A34" i="12" s="1"/>
  <c r="N12" i="12"/>
  <c r="H10" i="12"/>
  <c r="B10" i="12"/>
  <c r="A10" i="12"/>
  <c r="A33" i="12" s="1"/>
  <c r="N11" i="12"/>
  <c r="H9" i="12"/>
  <c r="A9" i="12"/>
  <c r="A32" i="12" s="1"/>
  <c r="AS32" i="12" s="1"/>
  <c r="N10" i="12"/>
  <c r="A8" i="12"/>
  <c r="A31" i="12" s="1"/>
  <c r="N9" i="12"/>
  <c r="B7" i="12"/>
  <c r="B30" i="12" s="1"/>
  <c r="A7" i="12"/>
  <c r="A30" i="12" s="1"/>
  <c r="N8" i="12"/>
  <c r="A6" i="12"/>
  <c r="A29" i="12" s="1"/>
  <c r="N7" i="12"/>
  <c r="A5" i="12"/>
  <c r="A28" i="12" s="1"/>
  <c r="AS28" i="12" s="1"/>
  <c r="N6" i="12"/>
  <c r="A4" i="12"/>
  <c r="A27" i="12" s="1"/>
  <c r="N5" i="12"/>
  <c r="H3" i="12"/>
  <c r="H25" i="12" s="1"/>
  <c r="G3" i="12"/>
  <c r="G25" i="12" s="1"/>
  <c r="F3" i="12"/>
  <c r="F25" i="12" s="1"/>
  <c r="AL25" i="12" s="1"/>
  <c r="E3" i="12"/>
  <c r="E25" i="12" s="1"/>
  <c r="V25" i="12" s="1"/>
  <c r="D3" i="12"/>
  <c r="D25" i="12" s="1"/>
  <c r="AJ25" i="12" s="1"/>
  <c r="BQ25" i="12" s="1"/>
  <c r="C3" i="12"/>
  <c r="C25" i="12" s="1"/>
  <c r="T25" i="12" s="1"/>
  <c r="B3" i="12"/>
  <c r="B25" i="12" s="1"/>
  <c r="A3" i="12"/>
  <c r="O4" i="12"/>
  <c r="N4" i="12"/>
  <c r="H2" i="12"/>
  <c r="H24" i="12" s="1"/>
  <c r="AN24" i="12" s="1"/>
  <c r="G2" i="12"/>
  <c r="G24" i="12" s="1"/>
  <c r="AM24" i="12" s="1"/>
  <c r="F2" i="12"/>
  <c r="F24" i="12" s="1"/>
  <c r="AL24" i="12" s="1"/>
  <c r="BS24" i="12" s="1"/>
  <c r="E2" i="12"/>
  <c r="E24" i="12" s="1"/>
  <c r="D2" i="12"/>
  <c r="D24" i="12" s="1"/>
  <c r="C2" i="12"/>
  <c r="C24" i="12" s="1"/>
  <c r="T24" i="12" s="1"/>
  <c r="B2" i="12"/>
  <c r="B24" i="12" s="1"/>
  <c r="AH24" i="12" s="1"/>
  <c r="BO24" i="12" s="1"/>
  <c r="H26" i="10"/>
  <c r="Y26" i="10" s="1"/>
  <c r="B26" i="10"/>
  <c r="S26" i="10" s="1"/>
  <c r="D26" i="10"/>
  <c r="U26" i="10" s="1"/>
  <c r="E26" i="10"/>
  <c r="V26" i="10" s="1"/>
  <c r="G26"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28" i="10" s="1"/>
  <c r="A6" i="10"/>
  <c r="A29" i="10" s="1"/>
  <c r="R29" i="10" s="1"/>
  <c r="A7" i="10"/>
  <c r="A30" i="10" s="1"/>
  <c r="A8" i="10"/>
  <c r="A31" i="10" s="1"/>
  <c r="N31" i="10" s="1"/>
  <c r="A9" i="10"/>
  <c r="A32" i="10" s="1"/>
  <c r="N32" i="10" s="1"/>
  <c r="A10" i="10"/>
  <c r="A33" i="10" s="1"/>
  <c r="A11" i="10"/>
  <c r="A34" i="10" s="1"/>
  <c r="A12" i="10"/>
  <c r="A35" i="10" s="1"/>
  <c r="R35" i="10" s="1"/>
  <c r="A13" i="10"/>
  <c r="A36" i="10" s="1"/>
  <c r="R36" i="10" s="1"/>
  <c r="A14" i="10"/>
  <c r="A37" i="10" s="1"/>
  <c r="A15" i="10"/>
  <c r="A38" i="10" s="1"/>
  <c r="N38" i="10" s="1"/>
  <c r="A16" i="10"/>
  <c r="A39" i="10" s="1"/>
  <c r="A4" i="10"/>
  <c r="A27" i="10" s="1"/>
  <c r="R27" i="10" s="1"/>
  <c r="H3" i="10"/>
  <c r="H25" i="10" s="1"/>
  <c r="G3" i="10"/>
  <c r="G25" i="10" s="1"/>
  <c r="X25" i="10" s="1"/>
  <c r="F3" i="10"/>
  <c r="F25" i="10" s="1"/>
  <c r="E3" i="10"/>
  <c r="E25" i="10" s="1"/>
  <c r="V25" i="10" s="1"/>
  <c r="D3" i="10"/>
  <c r="D25" i="10" s="1"/>
  <c r="U25" i="10" s="1"/>
  <c r="C3" i="10"/>
  <c r="C25" i="10" s="1"/>
  <c r="AI25" i="10" s="1"/>
  <c r="AU25" i="10" s="1"/>
  <c r="BE25" i="10" s="1"/>
  <c r="B3" i="10"/>
  <c r="B25" i="10" s="1"/>
  <c r="H2" i="10"/>
  <c r="H24" i="10" s="1"/>
  <c r="G2" i="10"/>
  <c r="G24" i="10" s="1"/>
  <c r="X24" i="10" s="1"/>
  <c r="F2" i="10"/>
  <c r="F24" i="10" s="1"/>
  <c r="AL24" i="10" s="1"/>
  <c r="AX24" i="10" s="1"/>
  <c r="BH24" i="10" s="1"/>
  <c r="E2" i="10"/>
  <c r="E24" i="10" s="1"/>
  <c r="V24" i="10" s="1"/>
  <c r="D2" i="10"/>
  <c r="D24" i="10" s="1"/>
  <c r="C2" i="10"/>
  <c r="C24" i="10" s="1"/>
  <c r="B2" i="10"/>
  <c r="B24" i="10" s="1"/>
  <c r="S24" i="10" s="1"/>
  <c r="A3" i="10"/>
  <c r="AS26" i="10"/>
  <c r="BC26" i="10"/>
  <c r="BA25" i="10"/>
  <c r="BK25" i="10"/>
  <c r="AS25" i="10"/>
  <c r="W26" i="10"/>
  <c r="T26" i="10"/>
  <c r="R26" i="10"/>
  <c r="Z25" i="10"/>
  <c r="R25" i="10"/>
  <c r="AU26" i="10"/>
  <c r="A2" i="13"/>
  <c r="C1" i="13"/>
  <c r="D1" i="13"/>
  <c r="B1" i="13"/>
  <c r="E27" i="1"/>
  <c r="E28" i="1" s="1"/>
  <c r="E29" i="1" s="1"/>
  <c r="E30" i="1" s="1"/>
  <c r="D27" i="1"/>
  <c r="G27" i="1"/>
  <c r="G28" i="1" s="1"/>
  <c r="G29" i="1" s="1"/>
  <c r="H27" i="1"/>
  <c r="I26" i="1"/>
  <c r="P26" i="1" s="1"/>
  <c r="B27" i="1"/>
  <c r="B28" i="1" s="1"/>
  <c r="A28" i="1"/>
  <c r="O28" i="1" s="1"/>
  <c r="A29" i="1"/>
  <c r="O29" i="1" s="1"/>
  <c r="A30" i="1"/>
  <c r="O30" i="1" s="1"/>
  <c r="A31" i="1"/>
  <c r="O31" i="1" s="1"/>
  <c r="A32" i="1"/>
  <c r="O32" i="1" s="1"/>
  <c r="A33" i="1"/>
  <c r="O33" i="1" s="1"/>
  <c r="A34" i="1"/>
  <c r="O34" i="1" s="1"/>
  <c r="A35" i="1"/>
  <c r="O35" i="1" s="1"/>
  <c r="A36" i="1"/>
  <c r="O36" i="1" s="1"/>
  <c r="A37" i="1"/>
  <c r="O37" i="1" s="1"/>
  <c r="A38" i="1"/>
  <c r="O38" i="1" s="1"/>
  <c r="A39" i="1"/>
  <c r="O39" i="1" s="1"/>
  <c r="A27" i="1"/>
  <c r="O27" i="1" s="1"/>
  <c r="H25" i="1"/>
  <c r="V25" i="1" s="1"/>
  <c r="G25" i="1"/>
  <c r="U25" i="1" s="1"/>
  <c r="F25" i="1"/>
  <c r="T25" i="1" s="1"/>
  <c r="E25" i="1"/>
  <c r="S25" i="1" s="1"/>
  <c r="D25" i="1"/>
  <c r="R25" i="1" s="1"/>
  <c r="C25" i="1"/>
  <c r="Q25" i="1" s="1"/>
  <c r="H24" i="1"/>
  <c r="V24" i="1" s="1"/>
  <c r="G24" i="1"/>
  <c r="U24" i="1" s="1"/>
  <c r="F24" i="1"/>
  <c r="T24" i="1" s="1"/>
  <c r="E24" i="1"/>
  <c r="S24" i="1" s="1"/>
  <c r="D24" i="1"/>
  <c r="R24" i="1" s="1"/>
  <c r="C24" i="1"/>
  <c r="Q24" i="1" s="1"/>
  <c r="B25" i="1"/>
  <c r="P25" i="1" s="1"/>
  <c r="B24" i="1"/>
  <c r="P24" i="1" s="1"/>
  <c r="A20" i="3"/>
  <c r="G26" i="7"/>
  <c r="AG26" i="7" s="1"/>
  <c r="E26" i="7"/>
  <c r="D26" i="7"/>
  <c r="AD26" i="7" s="1"/>
  <c r="B7" i="7"/>
  <c r="B30" i="7" s="1"/>
  <c r="D7" i="7"/>
  <c r="D30" i="7" s="1"/>
  <c r="E7" i="7"/>
  <c r="E30" i="7" s="1"/>
  <c r="G7" i="7"/>
  <c r="G30" i="7" s="1"/>
  <c r="B26" i="7"/>
  <c r="B4" i="7"/>
  <c r="B5" i="7"/>
  <c r="B6" i="7"/>
  <c r="D4" i="7"/>
  <c r="D5" i="7"/>
  <c r="D6" i="7"/>
  <c r="E4" i="7"/>
  <c r="E5" i="7"/>
  <c r="E6" i="7"/>
  <c r="G4" i="7"/>
  <c r="G5" i="7"/>
  <c r="G6" i="7"/>
  <c r="H26" i="7"/>
  <c r="AH26"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6" i="7" s="1"/>
  <c r="E13" i="7"/>
  <c r="E36" i="7" s="1"/>
  <c r="D13" i="7"/>
  <c r="D36" i="7" s="1"/>
  <c r="B13" i="7"/>
  <c r="B36" i="7" s="1"/>
  <c r="A17" i="7"/>
  <c r="A40" i="7" s="1"/>
  <c r="O40" i="7" s="1"/>
  <c r="AA40" i="7" s="1"/>
  <c r="A16" i="7"/>
  <c r="A39" i="7" s="1"/>
  <c r="O39" i="7" s="1"/>
  <c r="AA39" i="7" s="1"/>
  <c r="A15" i="7"/>
  <c r="A38" i="7" s="1"/>
  <c r="O38" i="7" s="1"/>
  <c r="AA38" i="7" s="1"/>
  <c r="A14" i="7"/>
  <c r="A37" i="7" s="1"/>
  <c r="O37" i="7" s="1"/>
  <c r="AA37" i="7" s="1"/>
  <c r="A13" i="7"/>
  <c r="A36" i="7" s="1"/>
  <c r="O36" i="7" s="1"/>
  <c r="AA36" i="7" s="1"/>
  <c r="A12" i="7"/>
  <c r="A35" i="7" s="1"/>
  <c r="O35" i="7" s="1"/>
  <c r="AA35" i="7" s="1"/>
  <c r="A11" i="7"/>
  <c r="A34" i="7" s="1"/>
  <c r="O34" i="7" s="1"/>
  <c r="AA34" i="7" s="1"/>
  <c r="A10" i="7"/>
  <c r="A33" i="7" s="1"/>
  <c r="O33" i="7" s="1"/>
  <c r="AA33" i="7" s="1"/>
  <c r="A9" i="7"/>
  <c r="A32" i="7" s="1"/>
  <c r="O32" i="7" s="1"/>
  <c r="AA32" i="7" s="1"/>
  <c r="A8" i="7"/>
  <c r="A31" i="7" s="1"/>
  <c r="O31" i="7" s="1"/>
  <c r="AA31" i="7" s="1"/>
  <c r="A7" i="7"/>
  <c r="A30" i="7" s="1"/>
  <c r="O30" i="7" s="1"/>
  <c r="AA30" i="7" s="1"/>
  <c r="A6" i="7"/>
  <c r="A29" i="7" s="1"/>
  <c r="O29" i="7" s="1"/>
  <c r="AA29" i="7" s="1"/>
  <c r="A5" i="7"/>
  <c r="A28" i="7" s="1"/>
  <c r="O28" i="7" s="1"/>
  <c r="AA28" i="7" s="1"/>
  <c r="A4" i="7"/>
  <c r="A27" i="7" s="1"/>
  <c r="O27" i="7" s="1"/>
  <c r="AA27" i="7" s="1"/>
  <c r="AA26" i="7"/>
  <c r="AI25" i="7"/>
  <c r="H3" i="7"/>
  <c r="H25" i="7" s="1"/>
  <c r="V25" i="7" s="1"/>
  <c r="AH25" i="7" s="1"/>
  <c r="G3" i="7"/>
  <c r="G25" i="7" s="1"/>
  <c r="U25" i="7" s="1"/>
  <c r="AG25" i="7" s="1"/>
  <c r="F3" i="7"/>
  <c r="F25" i="7" s="1"/>
  <c r="T25" i="7" s="1"/>
  <c r="AF25" i="7" s="1"/>
  <c r="E3" i="7"/>
  <c r="E25" i="7" s="1"/>
  <c r="S25" i="7" s="1"/>
  <c r="AE25" i="7" s="1"/>
  <c r="D3" i="7"/>
  <c r="D25" i="7" s="1"/>
  <c r="R25" i="7" s="1"/>
  <c r="AD25" i="7" s="1"/>
  <c r="C3" i="7"/>
  <c r="C25" i="7" s="1"/>
  <c r="Q25" i="7" s="1"/>
  <c r="AC25" i="7" s="1"/>
  <c r="B3" i="7"/>
  <c r="B25" i="7" s="1"/>
  <c r="P25" i="7" s="1"/>
  <c r="AB25" i="7" s="1"/>
  <c r="AA25" i="7"/>
  <c r="H2" i="7"/>
  <c r="H24" i="7" s="1"/>
  <c r="V24" i="7" s="1"/>
  <c r="AH24" i="7" s="1"/>
  <c r="G2" i="7"/>
  <c r="G24" i="7" s="1"/>
  <c r="U24" i="7" s="1"/>
  <c r="AG24" i="7" s="1"/>
  <c r="F2" i="7"/>
  <c r="F24" i="7" s="1"/>
  <c r="T24" i="7" s="1"/>
  <c r="AF24" i="7" s="1"/>
  <c r="E2" i="7"/>
  <c r="E24" i="7" s="1"/>
  <c r="S24" i="7" s="1"/>
  <c r="AE24" i="7" s="1"/>
  <c r="D2" i="7"/>
  <c r="D24" i="7" s="1"/>
  <c r="R24" i="7" s="1"/>
  <c r="AD24" i="7" s="1"/>
  <c r="C2" i="7"/>
  <c r="C24" i="7" s="1"/>
  <c r="Q24" i="7" s="1"/>
  <c r="AC24" i="7" s="1"/>
  <c r="B2" i="7"/>
  <c r="B24" i="7" s="1"/>
  <c r="P24" i="7" s="1"/>
  <c r="AB24"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6" i="4"/>
  <c r="B26" i="4"/>
  <c r="C26" i="4"/>
  <c r="D26" i="4"/>
  <c r="E26" i="4"/>
  <c r="G26" i="4"/>
  <c r="B4" i="4"/>
  <c r="B5" i="4"/>
  <c r="C5" i="4"/>
  <c r="C28" i="4" s="1"/>
  <c r="D4" i="4"/>
  <c r="D5" i="4"/>
  <c r="E4" i="4"/>
  <c r="E5" i="4"/>
  <c r="G4" i="4"/>
  <c r="G5" i="4"/>
  <c r="H4" i="4"/>
  <c r="H5" i="4"/>
  <c r="B6" i="4"/>
  <c r="B7" i="4"/>
  <c r="B8" i="4"/>
  <c r="B9" i="4"/>
  <c r="B10" i="4"/>
  <c r="C10" i="4"/>
  <c r="C33" i="4" s="1"/>
  <c r="R26" i="4"/>
  <c r="AD26" i="4" s="1"/>
  <c r="AN26" i="4" s="1"/>
  <c r="D6" i="4"/>
  <c r="D7" i="4"/>
  <c r="D8" i="4"/>
  <c r="D9" i="4"/>
  <c r="D10" i="4"/>
  <c r="S26" i="4"/>
  <c r="AE26" i="4" s="1"/>
  <c r="AO26" i="4" s="1"/>
  <c r="E6" i="4"/>
  <c r="E7" i="4"/>
  <c r="E8" i="4"/>
  <c r="E9" i="4"/>
  <c r="E10" i="4"/>
  <c r="U26" i="4"/>
  <c r="AG26" i="4" s="1"/>
  <c r="AQ26" i="4" s="1"/>
  <c r="G6" i="4"/>
  <c r="G7" i="4"/>
  <c r="G8" i="4"/>
  <c r="G9" i="4"/>
  <c r="G10" i="4"/>
  <c r="H6" i="4"/>
  <c r="H7" i="4"/>
  <c r="H8" i="4"/>
  <c r="H9" i="4"/>
  <c r="H10" i="4"/>
  <c r="B11" i="4"/>
  <c r="B12" i="4"/>
  <c r="C12" i="4"/>
  <c r="C35" i="4" s="1"/>
  <c r="D11" i="4"/>
  <c r="D12" i="4"/>
  <c r="E11" i="4"/>
  <c r="E12" i="4"/>
  <c r="G11" i="4"/>
  <c r="G12" i="4"/>
  <c r="H11" i="4"/>
  <c r="H12" i="4"/>
  <c r="B13" i="4"/>
  <c r="B14" i="4"/>
  <c r="C14" i="4"/>
  <c r="C37" i="4" s="1"/>
  <c r="D13" i="4"/>
  <c r="D14" i="4"/>
  <c r="E13" i="4"/>
  <c r="E14" i="4"/>
  <c r="G13" i="4"/>
  <c r="G14" i="4"/>
  <c r="H13" i="4"/>
  <c r="H14" i="4"/>
  <c r="C4" i="4"/>
  <c r="C6" i="4"/>
  <c r="C29" i="4" s="1"/>
  <c r="C7" i="4"/>
  <c r="C30" i="4" s="1"/>
  <c r="C8" i="4"/>
  <c r="C31" i="4" s="1"/>
  <c r="C9" i="4"/>
  <c r="C32" i="4" s="1"/>
  <c r="C11" i="4"/>
  <c r="C34" i="4" s="1"/>
  <c r="C13" i="4"/>
  <c r="C36" i="4" s="1"/>
  <c r="B15" i="4"/>
  <c r="B16" i="4"/>
  <c r="B17" i="4"/>
  <c r="D15" i="4"/>
  <c r="D16" i="4"/>
  <c r="D17" i="4"/>
  <c r="E15" i="4"/>
  <c r="E16" i="4"/>
  <c r="E17" i="4"/>
  <c r="G15" i="4"/>
  <c r="G16" i="4"/>
  <c r="G17" i="4"/>
  <c r="H15" i="4"/>
  <c r="H16" i="4"/>
  <c r="H17" i="4"/>
  <c r="C38" i="4"/>
  <c r="C39" i="4"/>
  <c r="F5" i="4"/>
  <c r="F6" i="4"/>
  <c r="F7" i="4"/>
  <c r="F8" i="4"/>
  <c r="F9" i="4"/>
  <c r="F10" i="4"/>
  <c r="F11" i="4"/>
  <c r="F12" i="4"/>
  <c r="F13" i="4"/>
  <c r="F14" i="4"/>
  <c r="F15" i="4"/>
  <c r="F16" i="4"/>
  <c r="F17" i="4"/>
  <c r="F4" i="4"/>
  <c r="AA26" i="4"/>
  <c r="AK26" i="4" s="1"/>
  <c r="AA25" i="4"/>
  <c r="AI25" i="4"/>
  <c r="AS25" i="4" s="1"/>
  <c r="A5" i="4"/>
  <c r="A28" i="4" s="1"/>
  <c r="AK28" i="4" s="1"/>
  <c r="A6" i="4"/>
  <c r="A29" i="4" s="1"/>
  <c r="O29" i="4" s="1"/>
  <c r="AA29" i="4" s="1"/>
  <c r="A7" i="4"/>
  <c r="A30" i="4" s="1"/>
  <c r="A6" i="13" s="1"/>
  <c r="A8" i="4"/>
  <c r="A31" i="4" s="1"/>
  <c r="A7" i="13" s="1"/>
  <c r="A9" i="4"/>
  <c r="A32" i="4" s="1"/>
  <c r="A8" i="13" s="1"/>
  <c r="A10" i="4"/>
  <c r="A33" i="4" s="1"/>
  <c r="O33" i="4" s="1"/>
  <c r="AA33" i="4" s="1"/>
  <c r="A11" i="4"/>
  <c r="A34" i="4" s="1"/>
  <c r="A10" i="13" s="1"/>
  <c r="A12" i="4"/>
  <c r="A35" i="4" s="1"/>
  <c r="O35" i="4" s="1"/>
  <c r="AA35" i="4" s="1"/>
  <c r="A13" i="4"/>
  <c r="A36" i="4" s="1"/>
  <c r="O36" i="4" s="1"/>
  <c r="AA36" i="4" s="1"/>
  <c r="A14" i="4"/>
  <c r="A37" i="4" s="1"/>
  <c r="A13" i="13" s="1"/>
  <c r="A15" i="4"/>
  <c r="A38" i="4" s="1"/>
  <c r="O38" i="4" s="1"/>
  <c r="AA38" i="4" s="1"/>
  <c r="A16" i="4"/>
  <c r="A39" i="4" s="1"/>
  <c r="O39" i="4" s="1"/>
  <c r="AA39" i="4" s="1"/>
  <c r="A17" i="4"/>
  <c r="A40" i="4" s="1"/>
  <c r="A4" i="4"/>
  <c r="A27" i="4" s="1"/>
  <c r="H3" i="4"/>
  <c r="H25" i="4" s="1"/>
  <c r="V25" i="4" s="1"/>
  <c r="AH25" i="4" s="1"/>
  <c r="AR25" i="4" s="1"/>
  <c r="G3" i="4"/>
  <c r="G25" i="4" s="1"/>
  <c r="U25" i="4" s="1"/>
  <c r="AG25" i="4" s="1"/>
  <c r="AQ25" i="4" s="1"/>
  <c r="F3" i="4"/>
  <c r="F25" i="4" s="1"/>
  <c r="T25" i="4" s="1"/>
  <c r="AF25" i="4" s="1"/>
  <c r="AP25" i="4" s="1"/>
  <c r="E3" i="4"/>
  <c r="E25" i="4" s="1"/>
  <c r="S25" i="4" s="1"/>
  <c r="AE25" i="4" s="1"/>
  <c r="AO25" i="4" s="1"/>
  <c r="D3" i="4"/>
  <c r="D25" i="4" s="1"/>
  <c r="R25" i="4" s="1"/>
  <c r="AD25" i="4" s="1"/>
  <c r="AN25" i="4" s="1"/>
  <c r="C3" i="4"/>
  <c r="C25" i="4" s="1"/>
  <c r="Q25" i="4" s="1"/>
  <c r="AC25" i="4" s="1"/>
  <c r="AM25" i="4" s="1"/>
  <c r="H2" i="4"/>
  <c r="H24" i="4" s="1"/>
  <c r="V24" i="4" s="1"/>
  <c r="AH24" i="4" s="1"/>
  <c r="AR24" i="4" s="1"/>
  <c r="G2" i="4"/>
  <c r="G24" i="4" s="1"/>
  <c r="U24" i="4" s="1"/>
  <c r="AG24" i="4" s="1"/>
  <c r="AQ24" i="4" s="1"/>
  <c r="F2" i="4"/>
  <c r="F24" i="4" s="1"/>
  <c r="T24" i="4" s="1"/>
  <c r="AF24" i="4" s="1"/>
  <c r="AP24" i="4" s="1"/>
  <c r="E2" i="4"/>
  <c r="E24" i="4" s="1"/>
  <c r="S24" i="4" s="1"/>
  <c r="AE24" i="4" s="1"/>
  <c r="AO24" i="4" s="1"/>
  <c r="D2" i="4"/>
  <c r="D24" i="4" s="1"/>
  <c r="R24" i="4" s="1"/>
  <c r="AD24" i="4" s="1"/>
  <c r="AN24" i="4" s="1"/>
  <c r="C2" i="4"/>
  <c r="C24" i="4" s="1"/>
  <c r="Q24" i="4" s="1"/>
  <c r="AC24" i="4" s="1"/>
  <c r="AM24" i="4" s="1"/>
  <c r="B3" i="4"/>
  <c r="B25" i="4" s="1"/>
  <c r="P25" i="4" s="1"/>
  <c r="AB25" i="4" s="1"/>
  <c r="AL25" i="4" s="1"/>
  <c r="B2" i="4"/>
  <c r="B24" i="4" s="1"/>
  <c r="P24" i="4" s="1"/>
  <c r="AB24" i="4" s="1"/>
  <c r="AL24" i="4" s="1"/>
  <c r="A3" i="4"/>
  <c r="AF26" i="4"/>
  <c r="AP26" i="4" s="1"/>
  <c r="AC26" i="4"/>
  <c r="AM26" i="4" s="1"/>
  <c r="AO43" i="12" l="1"/>
  <c r="AQ43" i="12" s="1"/>
  <c r="AQ43" i="10"/>
  <c r="AO43" i="9"/>
  <c r="AP43" i="9"/>
  <c r="E24" i="15"/>
  <c r="B24" i="15"/>
  <c r="H24" i="15"/>
  <c r="G24" i="15"/>
  <c r="D24" i="15"/>
  <c r="D27" i="12"/>
  <c r="H27" i="9"/>
  <c r="E27" i="4"/>
  <c r="AO27" i="4" s="1"/>
  <c r="E28" i="4" s="1"/>
  <c r="G27" i="7"/>
  <c r="AG27" i="7" s="1"/>
  <c r="G28" i="7" s="1"/>
  <c r="O37" i="4"/>
  <c r="AA37" i="4" s="1"/>
  <c r="N35" i="10"/>
  <c r="H27" i="4"/>
  <c r="AR27" i="4" s="1"/>
  <c r="H28" i="4" s="1"/>
  <c r="W26" i="1"/>
  <c r="O40" i="4"/>
  <c r="AA40" i="4" s="1"/>
  <c r="A16" i="13"/>
  <c r="AK40" i="4"/>
  <c r="AG39" i="10"/>
  <c r="AS39" i="10" s="1"/>
  <c r="BC39" i="10" s="1"/>
  <c r="N39" i="10"/>
  <c r="R39" i="10"/>
  <c r="O31" i="4"/>
  <c r="AA31" i="4" s="1"/>
  <c r="N37" i="12"/>
  <c r="AS37" i="12"/>
  <c r="R36" i="12"/>
  <c r="AS36" i="12"/>
  <c r="AG29" i="12"/>
  <c r="BN29" i="12" s="1"/>
  <c r="AS29" i="12"/>
  <c r="D27" i="10"/>
  <c r="N33" i="12"/>
  <c r="AS33" i="12"/>
  <c r="AG40" i="9"/>
  <c r="R40" i="9"/>
  <c r="N40" i="9"/>
  <c r="N27" i="12"/>
  <c r="AS27" i="12"/>
  <c r="AG34" i="12"/>
  <c r="BN34" i="12" s="1"/>
  <c r="AS34" i="12"/>
  <c r="R30" i="12"/>
  <c r="AS30" i="12"/>
  <c r="AG31" i="12"/>
  <c r="BN31" i="12" s="1"/>
  <c r="AS31" i="12"/>
  <c r="R38" i="12"/>
  <c r="AS38" i="12"/>
  <c r="G27" i="9"/>
  <c r="G28" i="9" s="1"/>
  <c r="G29" i="9" s="1"/>
  <c r="G30" i="9" s="1"/>
  <c r="G31" i="9" s="1"/>
  <c r="AM24" i="10"/>
  <c r="AY24" i="10" s="1"/>
  <c r="BI24" i="10" s="1"/>
  <c r="AG37" i="12"/>
  <c r="BN37" i="12" s="1"/>
  <c r="R37" i="12"/>
  <c r="R31" i="12"/>
  <c r="AN24" i="9"/>
  <c r="D27" i="9"/>
  <c r="D27" i="4"/>
  <c r="AN27" i="4" s="1"/>
  <c r="D28" i="4" s="1"/>
  <c r="AK36" i="4"/>
  <c r="B27" i="4"/>
  <c r="AL27" i="4" s="1"/>
  <c r="B28" i="4" s="1"/>
  <c r="AK39" i="4"/>
  <c r="T25" i="9"/>
  <c r="AI25" i="9"/>
  <c r="N28" i="12"/>
  <c r="R28" i="12"/>
  <c r="AK37" i="4"/>
  <c r="AG33" i="12"/>
  <c r="BN33" i="12" s="1"/>
  <c r="R31" i="10"/>
  <c r="H27" i="12"/>
  <c r="AG37" i="10"/>
  <c r="AS37" i="10" s="1"/>
  <c r="BC37" i="10" s="1"/>
  <c r="R37" i="10"/>
  <c r="AK31" i="4"/>
  <c r="W24" i="12"/>
  <c r="AK24" i="10"/>
  <c r="AW24" i="10" s="1"/>
  <c r="BG24" i="10" s="1"/>
  <c r="G27" i="4"/>
  <c r="AQ27" i="4" s="1"/>
  <c r="G28" i="4" s="1"/>
  <c r="D27" i="7"/>
  <c r="AD27" i="7" s="1"/>
  <c r="D28" i="7" s="1"/>
  <c r="AD28" i="7" s="1"/>
  <c r="D29" i="7" s="1"/>
  <c r="AM25" i="10"/>
  <c r="AY25" i="10" s="1"/>
  <c r="BI25" i="10" s="1"/>
  <c r="AG28" i="12"/>
  <c r="BN28" i="12" s="1"/>
  <c r="AN25" i="9"/>
  <c r="Y25" i="9"/>
  <c r="T26" i="1"/>
  <c r="AK25" i="10"/>
  <c r="AW25" i="10" s="1"/>
  <c r="BG25" i="10" s="1"/>
  <c r="Y24" i="12"/>
  <c r="B27" i="12"/>
  <c r="AG34" i="9"/>
  <c r="I26" i="4"/>
  <c r="Q26" i="1"/>
  <c r="V26" i="1"/>
  <c r="C2" i="13"/>
  <c r="X25" i="9"/>
  <c r="B27" i="9"/>
  <c r="C27" i="4"/>
  <c r="I27" i="1"/>
  <c r="J27" i="1" s="1"/>
  <c r="K27" i="1" s="1"/>
  <c r="L27" i="1" s="1"/>
  <c r="AG31" i="10"/>
  <c r="AS31" i="10" s="1"/>
  <c r="BC31" i="10" s="1"/>
  <c r="AX24" i="12"/>
  <c r="U25" i="12"/>
  <c r="N29" i="9"/>
  <c r="AH24" i="9"/>
  <c r="S24" i="9"/>
  <c r="S25" i="10"/>
  <c r="AH25" i="10"/>
  <c r="AT25" i="10" s="1"/>
  <c r="BD25" i="10" s="1"/>
  <c r="N30" i="10"/>
  <c r="R30" i="10"/>
  <c r="AG30" i="10"/>
  <c r="AS30" i="10" s="1"/>
  <c r="BC30" i="10" s="1"/>
  <c r="AG35" i="12"/>
  <c r="BN35" i="12" s="1"/>
  <c r="N35" i="12"/>
  <c r="R35" i="12"/>
  <c r="B27" i="10"/>
  <c r="AK32" i="4"/>
  <c r="E27" i="10"/>
  <c r="N37" i="10"/>
  <c r="I26" i="10"/>
  <c r="Z26" i="10" s="1"/>
  <c r="AN26" i="10" s="1"/>
  <c r="AZ26" i="10" s="1"/>
  <c r="BJ26" i="10" s="1"/>
  <c r="AI25" i="12"/>
  <c r="AU25" i="12" s="1"/>
  <c r="S24" i="12"/>
  <c r="AI24" i="12"/>
  <c r="W25" i="12"/>
  <c r="AK25" i="12"/>
  <c r="AW25" i="12" s="1"/>
  <c r="AH25" i="9"/>
  <c r="W24" i="10"/>
  <c r="AG27" i="12"/>
  <c r="BN27" i="12" s="1"/>
  <c r="R33" i="9"/>
  <c r="W25" i="9"/>
  <c r="AG35" i="9"/>
  <c r="O34" i="4"/>
  <c r="AA34" i="4" s="1"/>
  <c r="AK34" i="4"/>
  <c r="T25" i="10"/>
  <c r="AG35" i="10"/>
  <c r="AS35" i="10" s="1"/>
  <c r="BC35" i="10" s="1"/>
  <c r="H27" i="10"/>
  <c r="AT24" i="12"/>
  <c r="S26" i="12"/>
  <c r="N31" i="12"/>
  <c r="X24" i="12"/>
  <c r="R27" i="12"/>
  <c r="G27" i="12"/>
  <c r="R34" i="9"/>
  <c r="AG29" i="9"/>
  <c r="AL24" i="9"/>
  <c r="AK25" i="9"/>
  <c r="N33" i="9"/>
  <c r="N33" i="10"/>
  <c r="AG33" i="10"/>
  <c r="AS33" i="10" s="1"/>
  <c r="BC33" i="10" s="1"/>
  <c r="R33" i="10"/>
  <c r="A3" i="13"/>
  <c r="O27" i="4"/>
  <c r="AA27" i="4" s="1"/>
  <c r="AE26" i="7"/>
  <c r="D28" i="1"/>
  <c r="N34" i="10"/>
  <c r="R34" i="10"/>
  <c r="AG34" i="10"/>
  <c r="AS34" i="10" s="1"/>
  <c r="BC34" i="10" s="1"/>
  <c r="O28" i="4"/>
  <c r="AA28" i="4" s="1"/>
  <c r="AK27" i="4"/>
  <c r="O30" i="4"/>
  <c r="AA30" i="4" s="1"/>
  <c r="O32" i="4"/>
  <c r="AA32" i="4" s="1"/>
  <c r="A5" i="13"/>
  <c r="AK29" i="4"/>
  <c r="A15" i="13"/>
  <c r="A4" i="13"/>
  <c r="U24" i="10"/>
  <c r="AJ24" i="10"/>
  <c r="AV24" i="10" s="1"/>
  <c r="BF24" i="10" s="1"/>
  <c r="AN25" i="10"/>
  <c r="AZ25" i="10" s="1"/>
  <c r="BJ25" i="10" s="1"/>
  <c r="Y25" i="10"/>
  <c r="N28" i="10"/>
  <c r="R28" i="10"/>
  <c r="AG28" i="10"/>
  <c r="AS28" i="10" s="1"/>
  <c r="BC28" i="10" s="1"/>
  <c r="A14" i="13"/>
  <c r="AK38" i="4"/>
  <c r="E27" i="7"/>
  <c r="AB26" i="7"/>
  <c r="B27" i="7"/>
  <c r="H28" i="1"/>
  <c r="G30" i="1"/>
  <c r="A12" i="13"/>
  <c r="AH24" i="10"/>
  <c r="AT24" i="10" s="1"/>
  <c r="BD24" i="10" s="1"/>
  <c r="AI24" i="10"/>
  <c r="AU24" i="10" s="1"/>
  <c r="BE24" i="10" s="1"/>
  <c r="T24" i="10"/>
  <c r="W25" i="10"/>
  <c r="AL25" i="10"/>
  <c r="AX25" i="10" s="1"/>
  <c r="BH25" i="10" s="1"/>
  <c r="AG36" i="10"/>
  <c r="AS36" i="10" s="1"/>
  <c r="BC36" i="10" s="1"/>
  <c r="N36" i="10"/>
  <c r="AK30" i="4"/>
  <c r="A11" i="13"/>
  <c r="AK35" i="4"/>
  <c r="AK33" i="4"/>
  <c r="I26" i="7"/>
  <c r="V26" i="7" s="1"/>
  <c r="H27" i="7"/>
  <c r="B29" i="1"/>
  <c r="E31" i="1"/>
  <c r="A9" i="13"/>
  <c r="R32" i="10"/>
  <c r="AG32" i="10"/>
  <c r="AS32" i="10" s="1"/>
  <c r="BC32" i="10" s="1"/>
  <c r="X26" i="10"/>
  <c r="G27" i="10"/>
  <c r="AJ25" i="10"/>
  <c r="AV25" i="10" s="1"/>
  <c r="BF25" i="10" s="1"/>
  <c r="N27" i="10"/>
  <c r="AG27" i="10"/>
  <c r="AS27" i="10" s="1"/>
  <c r="BC27" i="10" s="1"/>
  <c r="R38" i="10"/>
  <c r="AG38" i="10"/>
  <c r="AS38" i="10" s="1"/>
  <c r="BC38" i="10" s="1"/>
  <c r="AN25" i="12"/>
  <c r="Y25" i="12"/>
  <c r="R29" i="12"/>
  <c r="N29" i="12"/>
  <c r="AI24" i="9"/>
  <c r="T24" i="9"/>
  <c r="AG39" i="9"/>
  <c r="N39" i="9"/>
  <c r="R39" i="9"/>
  <c r="AN24" i="10"/>
  <c r="AZ24" i="10" s="1"/>
  <c r="BJ24" i="10" s="1"/>
  <c r="Y24" i="10"/>
  <c r="AG29" i="10"/>
  <c r="AS29" i="10" s="1"/>
  <c r="BC29" i="10" s="1"/>
  <c r="N29" i="10"/>
  <c r="AJ24" i="12"/>
  <c r="U24" i="12"/>
  <c r="AH25" i="12"/>
  <c r="S25" i="12"/>
  <c r="AM25" i="12"/>
  <c r="X25" i="12"/>
  <c r="R32" i="12"/>
  <c r="AG32" i="12"/>
  <c r="BN32" i="12" s="1"/>
  <c r="N32" i="12"/>
  <c r="AG38" i="12"/>
  <c r="BN38" i="12" s="1"/>
  <c r="N38" i="12"/>
  <c r="V26" i="12"/>
  <c r="I26" i="12"/>
  <c r="Z26" i="12" s="1"/>
  <c r="E27" i="12"/>
  <c r="V24" i="12"/>
  <c r="AK24" i="12"/>
  <c r="BT24" i="12"/>
  <c r="AY24" i="12"/>
  <c r="N30" i="12"/>
  <c r="AG30" i="12"/>
  <c r="BN30" i="12" s="1"/>
  <c r="AG36" i="12"/>
  <c r="BN36" i="12" s="1"/>
  <c r="N36" i="12"/>
  <c r="BN41" i="12"/>
  <c r="BU24" i="12"/>
  <c r="AZ24" i="12"/>
  <c r="R34" i="12"/>
  <c r="N34" i="12"/>
  <c r="AG39" i="12"/>
  <c r="BN39" i="12" s="1"/>
  <c r="R39" i="12"/>
  <c r="N39" i="12"/>
  <c r="BS25" i="12"/>
  <c r="AX25" i="12"/>
  <c r="AV25" i="12"/>
  <c r="R33" i="12"/>
  <c r="AK24" i="9"/>
  <c r="N37" i="9"/>
  <c r="AG37" i="9"/>
  <c r="AJ25" i="9"/>
  <c r="U25" i="9"/>
  <c r="X24" i="9"/>
  <c r="AM24" i="9"/>
  <c r="U24" i="9"/>
  <c r="AJ24" i="9"/>
  <c r="N31" i="9"/>
  <c r="R31" i="9"/>
  <c r="AG38" i="9"/>
  <c r="R38" i="9"/>
  <c r="AG30" i="9"/>
  <c r="R30" i="9"/>
  <c r="N30" i="9"/>
  <c r="N35" i="9"/>
  <c r="N28" i="9"/>
  <c r="R28" i="9"/>
  <c r="N32" i="9"/>
  <c r="R32" i="9"/>
  <c r="V26" i="9"/>
  <c r="I26" i="9"/>
  <c r="Z26" i="9" s="1"/>
  <c r="AH26" i="9" s="1"/>
  <c r="E27" i="9"/>
  <c r="AG36" i="9"/>
  <c r="R36" i="9"/>
  <c r="N36" i="9"/>
  <c r="R27" i="9"/>
  <c r="AG27" i="9"/>
  <c r="AQ43" i="9" l="1"/>
  <c r="B2" i="13"/>
  <c r="V27" i="1"/>
  <c r="P27" i="1"/>
  <c r="U27" i="1"/>
  <c r="AH26" i="10"/>
  <c r="AT26" i="10" s="1"/>
  <c r="BD26" i="10" s="1"/>
  <c r="AH26" i="12"/>
  <c r="BO26" i="12" s="1"/>
  <c r="AM26" i="10"/>
  <c r="AY26" i="10" s="1"/>
  <c r="BI26" i="10" s="1"/>
  <c r="AK26" i="10"/>
  <c r="AW26" i="10" s="1"/>
  <c r="BG26" i="10" s="1"/>
  <c r="AO26" i="10"/>
  <c r="BA26" i="10" s="1"/>
  <c r="BK26" i="10" s="1"/>
  <c r="AJ26" i="10"/>
  <c r="AV26" i="10" s="1"/>
  <c r="BF26" i="10" s="1"/>
  <c r="AI26" i="7"/>
  <c r="AJ26" i="7" s="1"/>
  <c r="V26" i="4"/>
  <c r="AH26" i="4" s="1"/>
  <c r="AR26" i="4" s="1"/>
  <c r="I27" i="4"/>
  <c r="P26" i="4"/>
  <c r="AB26" i="4" s="1"/>
  <c r="AL26" i="4" s="1"/>
  <c r="W26" i="4"/>
  <c r="AI26" i="4" s="1"/>
  <c r="AS26" i="4" s="1"/>
  <c r="R27" i="1"/>
  <c r="S27" i="1"/>
  <c r="X27" i="1" s="1"/>
  <c r="C3" i="13"/>
  <c r="BP25" i="12"/>
  <c r="BR25" i="12"/>
  <c r="BP24" i="12"/>
  <c r="AU24" i="12"/>
  <c r="AK26" i="12"/>
  <c r="BR26" i="12" s="1"/>
  <c r="P26" i="7"/>
  <c r="S26" i="7"/>
  <c r="AO26" i="9"/>
  <c r="AN26" i="9"/>
  <c r="AM26" i="9"/>
  <c r="AJ26" i="9"/>
  <c r="BT25" i="12"/>
  <c r="AY25" i="12"/>
  <c r="BQ24" i="12"/>
  <c r="AV24" i="12"/>
  <c r="G31" i="1"/>
  <c r="AG28" i="7"/>
  <c r="G29" i="7" s="1"/>
  <c r="AK26" i="9"/>
  <c r="AM26" i="12"/>
  <c r="G32" i="9"/>
  <c r="BU25" i="12"/>
  <c r="AZ25" i="12"/>
  <c r="AB27" i="7"/>
  <c r="I27" i="7"/>
  <c r="I27" i="10"/>
  <c r="I27" i="12"/>
  <c r="BO25" i="12"/>
  <c r="AT25" i="12"/>
  <c r="E32" i="1"/>
  <c r="AH27" i="7"/>
  <c r="H28" i="7" s="1"/>
  <c r="H29" i="1"/>
  <c r="D29" i="1"/>
  <c r="I28" i="4"/>
  <c r="I27" i="9"/>
  <c r="BR24" i="12"/>
  <c r="AW24" i="12"/>
  <c r="AJ26" i="12"/>
  <c r="AN26" i="12"/>
  <c r="B30" i="1"/>
  <c r="D2" i="13"/>
  <c r="W26" i="7"/>
  <c r="R26" i="7"/>
  <c r="U26" i="7"/>
  <c r="AE27" i="7"/>
  <c r="E28" i="7" s="1"/>
  <c r="I28" i="1"/>
  <c r="V28" i="1" s="1"/>
  <c r="AD27" i="4" l="1"/>
  <c r="W27" i="1"/>
  <c r="AW26" i="12"/>
  <c r="AT26" i="12"/>
  <c r="AB27" i="4"/>
  <c r="R27" i="4"/>
  <c r="S27" i="4"/>
  <c r="V27" i="4"/>
  <c r="AS27" i="4"/>
  <c r="AT27" i="4" s="1"/>
  <c r="AG27" i="4"/>
  <c r="U27" i="4"/>
  <c r="AH27" i="4"/>
  <c r="J27" i="4"/>
  <c r="K27" i="4" s="1"/>
  <c r="L27" i="4" s="1"/>
  <c r="AI27" i="4"/>
  <c r="P27" i="4"/>
  <c r="AE27" i="4"/>
  <c r="B3" i="13"/>
  <c r="Y27" i="1"/>
  <c r="AE28" i="7"/>
  <c r="E29" i="7" s="1"/>
  <c r="B4" i="13"/>
  <c r="AS28" i="4"/>
  <c r="V28" i="4"/>
  <c r="AI28" i="4"/>
  <c r="J28" i="4"/>
  <c r="K28" i="4" s="1"/>
  <c r="L28" i="4" s="1"/>
  <c r="AH28" i="4"/>
  <c r="P28" i="4"/>
  <c r="S28" i="4"/>
  <c r="R28" i="4"/>
  <c r="AD28" i="4"/>
  <c r="AB28" i="4"/>
  <c r="AE28" i="4"/>
  <c r="R27" i="7"/>
  <c r="D3" i="13"/>
  <c r="J27" i="7"/>
  <c r="K27" i="7" s="1"/>
  <c r="L27" i="7" s="1"/>
  <c r="U27" i="7"/>
  <c r="C4" i="13"/>
  <c r="U28" i="1"/>
  <c r="J28" i="1"/>
  <c r="K28" i="1" s="1"/>
  <c r="L28" i="1" s="1"/>
  <c r="S28" i="1"/>
  <c r="P28" i="1"/>
  <c r="BU26" i="12"/>
  <c r="AZ26" i="12"/>
  <c r="O27" i="9"/>
  <c r="J27" i="9"/>
  <c r="K27" i="9" s="1"/>
  <c r="L27" i="9" s="1"/>
  <c r="D30" i="1"/>
  <c r="AG28" i="4"/>
  <c r="E33" i="1"/>
  <c r="P27" i="7"/>
  <c r="I29" i="1"/>
  <c r="V29" i="1" s="1"/>
  <c r="AV26" i="12"/>
  <c r="BQ26" i="12"/>
  <c r="H30" i="1"/>
  <c r="V27" i="7"/>
  <c r="O27" i="10"/>
  <c r="J27" i="10"/>
  <c r="K27" i="10" s="1"/>
  <c r="L27" i="10" s="1"/>
  <c r="G33" i="9"/>
  <c r="AH28" i="7"/>
  <c r="H29" i="7" s="1"/>
  <c r="J27" i="12"/>
  <c r="K27" i="12" s="1"/>
  <c r="L27" i="12" s="1"/>
  <c r="O27" i="12"/>
  <c r="G32" i="1"/>
  <c r="AO26" i="12"/>
  <c r="S27" i="7"/>
  <c r="I30" i="1"/>
  <c r="P30" i="1" s="1"/>
  <c r="B31" i="1"/>
  <c r="R28" i="1"/>
  <c r="U28" i="4"/>
  <c r="AI27" i="7"/>
  <c r="AJ27" i="7" s="1"/>
  <c r="B28" i="7"/>
  <c r="BT26" i="12"/>
  <c r="AY26" i="12"/>
  <c r="X27" i="4" l="1"/>
  <c r="W27" i="4"/>
  <c r="G33" i="1"/>
  <c r="V30" i="1"/>
  <c r="H31" i="1"/>
  <c r="O28" i="9"/>
  <c r="Y27" i="9"/>
  <c r="S27" i="9"/>
  <c r="X27" i="9"/>
  <c r="U27" i="9"/>
  <c r="V27" i="9"/>
  <c r="C6" i="13"/>
  <c r="J30" i="1"/>
  <c r="K30" i="1" s="1"/>
  <c r="L30" i="1" s="1"/>
  <c r="S30" i="1"/>
  <c r="U30" i="1"/>
  <c r="G34" i="9"/>
  <c r="C5" i="13"/>
  <c r="J29" i="1"/>
  <c r="K29" i="1" s="1"/>
  <c r="L29" i="1" s="1"/>
  <c r="S29" i="1"/>
  <c r="U29" i="1"/>
  <c r="P29" i="1"/>
  <c r="W28" i="1"/>
  <c r="X28" i="1"/>
  <c r="O28" i="12"/>
  <c r="O29" i="12" s="1"/>
  <c r="O30" i="12" s="1"/>
  <c r="O31" i="12" s="1"/>
  <c r="O32" i="12" s="1"/>
  <c r="O33" i="12" s="1"/>
  <c r="O34" i="12" s="1"/>
  <c r="O35" i="12" s="1"/>
  <c r="O36" i="12" s="1"/>
  <c r="O37" i="12" s="1"/>
  <c r="O38" i="12" s="1"/>
  <c r="O39" i="12" s="1"/>
  <c r="X27" i="12"/>
  <c r="U27" i="12"/>
  <c r="S27" i="12"/>
  <c r="Y27" i="12"/>
  <c r="V27" i="12"/>
  <c r="O28" i="10"/>
  <c r="O29" i="10" s="1"/>
  <c r="O30" i="10" s="1"/>
  <c r="O31" i="10" s="1"/>
  <c r="O32" i="10" s="1"/>
  <c r="O33" i="10" s="1"/>
  <c r="O34" i="10" s="1"/>
  <c r="O35" i="10" s="1"/>
  <c r="O36" i="10" s="1"/>
  <c r="O37" i="10" s="1"/>
  <c r="O38" i="10" s="1"/>
  <c r="V27" i="10"/>
  <c r="Y27" i="10"/>
  <c r="S27" i="10"/>
  <c r="U27" i="10"/>
  <c r="X27" i="10"/>
  <c r="X27" i="7"/>
  <c r="W27" i="7"/>
  <c r="R30" i="1"/>
  <c r="D31" i="1"/>
  <c r="W28" i="4"/>
  <c r="X28" i="4"/>
  <c r="I28" i="7"/>
  <c r="P28" i="7" s="1"/>
  <c r="AB28" i="7"/>
  <c r="B32" i="1"/>
  <c r="BV26" i="12"/>
  <c r="BA26" i="12"/>
  <c r="E34" i="1"/>
  <c r="R29" i="1"/>
  <c r="AO28" i="4"/>
  <c r="E29" i="4" s="1"/>
  <c r="AR28" i="4"/>
  <c r="H29" i="4" s="1"/>
  <c r="AQ28" i="4"/>
  <c r="G29" i="4" s="1"/>
  <c r="AN28" i="4"/>
  <c r="D29" i="4" s="1"/>
  <c r="AL28" i="4"/>
  <c r="B29" i="4" s="1"/>
  <c r="Y27" i="4" l="1"/>
  <c r="O39" i="10"/>
  <c r="O40" i="10" s="1"/>
  <c r="O41" i="10" s="1"/>
  <c r="O40" i="12"/>
  <c r="O41" i="12" s="1"/>
  <c r="I31" i="1"/>
  <c r="J31" i="1" s="1"/>
  <c r="K31" i="1" s="1"/>
  <c r="L31" i="1" s="1"/>
  <c r="W30" i="1"/>
  <c r="Y27" i="7"/>
  <c r="X30" i="1"/>
  <c r="P31" i="1"/>
  <c r="AR29" i="4"/>
  <c r="H30" i="4" s="1"/>
  <c r="B33" i="1"/>
  <c r="BD27" i="10"/>
  <c r="B28" i="10" s="1"/>
  <c r="Z27" i="10"/>
  <c r="AZ27" i="10" s="1"/>
  <c r="AV27" i="12"/>
  <c r="D28" i="12" s="1"/>
  <c r="U28" i="12" s="1"/>
  <c r="O29" i="9"/>
  <c r="X28" i="9"/>
  <c r="AL29" i="4"/>
  <c r="B30" i="4" s="1"/>
  <c r="I29" i="4"/>
  <c r="AO29" i="4"/>
  <c r="E30" i="4" s="1"/>
  <c r="D4" i="13"/>
  <c r="J28" i="7"/>
  <c r="K28" i="7" s="1"/>
  <c r="L28" i="7" s="1"/>
  <c r="R28" i="7"/>
  <c r="U28" i="7"/>
  <c r="S28" i="7"/>
  <c r="V28" i="7"/>
  <c r="BJ27" i="10"/>
  <c r="H28" i="10" s="1"/>
  <c r="Y28" i="10" s="1"/>
  <c r="AW27" i="12"/>
  <c r="E28" i="12" s="1"/>
  <c r="V28" i="12" s="1"/>
  <c r="AY27" i="12"/>
  <c r="G28" i="12" s="1"/>
  <c r="X28" i="12" s="1"/>
  <c r="Y28" i="1"/>
  <c r="Z27" i="9"/>
  <c r="AK27" i="9" s="1"/>
  <c r="B28" i="9"/>
  <c r="H32" i="1"/>
  <c r="E35" i="1"/>
  <c r="AN29" i="4"/>
  <c r="D30" i="4" s="1"/>
  <c r="AT28" i="4"/>
  <c r="D32" i="1"/>
  <c r="BI27" i="10"/>
  <c r="G28" i="10" s="1"/>
  <c r="X28" i="10" s="1"/>
  <c r="BG27" i="10"/>
  <c r="E28" i="10" s="1"/>
  <c r="V28" i="10" s="1"/>
  <c r="AZ27" i="12"/>
  <c r="H28" i="12" s="1"/>
  <c r="Y28" i="12" s="1"/>
  <c r="X29" i="1"/>
  <c r="W29" i="1"/>
  <c r="E28" i="9"/>
  <c r="V28" i="9" s="1"/>
  <c r="AQ29" i="4"/>
  <c r="G30" i="4" s="1"/>
  <c r="AI28" i="7"/>
  <c r="AJ28" i="7" s="1"/>
  <c r="B29" i="7"/>
  <c r="Y28" i="4"/>
  <c r="BF27" i="10"/>
  <c r="D28" i="10" s="1"/>
  <c r="U28" i="10" s="1"/>
  <c r="Z27" i="12"/>
  <c r="AJ27" i="12" s="1"/>
  <c r="AT27" i="12"/>
  <c r="B28" i="12" s="1"/>
  <c r="G35" i="9"/>
  <c r="D28" i="9"/>
  <c r="U28" i="9" s="1"/>
  <c r="H28" i="9"/>
  <c r="Y28" i="9" s="1"/>
  <c r="G34" i="1"/>
  <c r="V29" i="4" l="1"/>
  <c r="V31" i="1"/>
  <c r="O45" i="12"/>
  <c r="I53" i="12" s="1"/>
  <c r="O44" i="10"/>
  <c r="Y30" i="1"/>
  <c r="U31" i="1"/>
  <c r="S31" i="1"/>
  <c r="R31" i="1"/>
  <c r="C7" i="13"/>
  <c r="O44" i="12"/>
  <c r="AN27" i="9"/>
  <c r="AG29" i="4"/>
  <c r="AH27" i="12"/>
  <c r="AN27" i="12"/>
  <c r="BO27" i="12"/>
  <c r="U29" i="4"/>
  <c r="R29" i="4"/>
  <c r="S29" i="4"/>
  <c r="AD29" i="4"/>
  <c r="AM27" i="10"/>
  <c r="AV27" i="10"/>
  <c r="Y29" i="1"/>
  <c r="BU27" i="12"/>
  <c r="AH27" i="9"/>
  <c r="AK27" i="12"/>
  <c r="AB29" i="4"/>
  <c r="AW27" i="10"/>
  <c r="AY27" i="10"/>
  <c r="X28" i="7"/>
  <c r="AE29" i="4"/>
  <c r="AT27" i="10"/>
  <c r="AJ27" i="9"/>
  <c r="AJ27" i="10"/>
  <c r="AN27" i="10"/>
  <c r="W28" i="7"/>
  <c r="AH27" i="10"/>
  <c r="AH29" i="4"/>
  <c r="G36" i="9"/>
  <c r="AZ28" i="12"/>
  <c r="H29" i="12" s="1"/>
  <c r="Y29" i="12" s="1"/>
  <c r="AY28" i="12"/>
  <c r="G29" i="12" s="1"/>
  <c r="X29" i="12" s="1"/>
  <c r="S28" i="12"/>
  <c r="I28" i="12"/>
  <c r="J28" i="12" s="1"/>
  <c r="K28" i="12" s="1"/>
  <c r="L28" i="12" s="1"/>
  <c r="I29" i="7"/>
  <c r="P29" i="7" s="1"/>
  <c r="D33" i="1"/>
  <c r="AW28" i="12"/>
  <c r="E29" i="12" s="1"/>
  <c r="V29" i="12" s="1"/>
  <c r="AO30" i="4"/>
  <c r="E31" i="4" s="1"/>
  <c r="AL30" i="4"/>
  <c r="B31" i="4" s="1"/>
  <c r="I30" i="4"/>
  <c r="AE30" i="4" s="1"/>
  <c r="I32" i="1"/>
  <c r="V32" i="1" s="1"/>
  <c r="G35" i="1"/>
  <c r="D29" i="9"/>
  <c r="U29" i="9" s="1"/>
  <c r="BV27" i="12"/>
  <c r="AD27" i="12"/>
  <c r="BP27" i="12"/>
  <c r="AA27" i="12"/>
  <c r="AB27" i="12" s="1"/>
  <c r="AC27" i="12" s="1"/>
  <c r="BS27" i="12"/>
  <c r="BA27" i="12"/>
  <c r="BB27" i="12"/>
  <c r="AK27" i="10"/>
  <c r="E36" i="1"/>
  <c r="S28" i="9"/>
  <c r="I28" i="9"/>
  <c r="J28" i="9" s="1"/>
  <c r="K28" i="9" s="1"/>
  <c r="L28" i="9" s="1"/>
  <c r="AM27" i="12"/>
  <c r="P29" i="4"/>
  <c r="AV28" i="12"/>
  <c r="D29" i="12" s="1"/>
  <c r="U29" i="12" s="1"/>
  <c r="I28" i="10"/>
  <c r="J28" i="10" s="1"/>
  <c r="K28" i="10" s="1"/>
  <c r="L28" i="10" s="1"/>
  <c r="S28" i="10"/>
  <c r="B34" i="1"/>
  <c r="H29" i="9"/>
  <c r="Y29" i="9" s="1"/>
  <c r="AN30" i="4"/>
  <c r="D31" i="4" s="1"/>
  <c r="O30" i="9"/>
  <c r="X29" i="9"/>
  <c r="AQ30" i="4"/>
  <c r="G31" i="4" s="1"/>
  <c r="E29" i="9"/>
  <c r="V29" i="9" s="1"/>
  <c r="H33" i="1"/>
  <c r="AD27" i="9"/>
  <c r="AA27" i="9"/>
  <c r="AB27" i="9" s="1"/>
  <c r="AC27" i="9" s="1"/>
  <c r="J29" i="4"/>
  <c r="K29" i="4" s="1"/>
  <c r="L29" i="4" s="1"/>
  <c r="AI29" i="4"/>
  <c r="B5" i="13"/>
  <c r="AS29" i="4"/>
  <c r="AT29" i="4" s="1"/>
  <c r="AM27" i="9"/>
  <c r="AA27" i="10"/>
  <c r="BL27" i="10"/>
  <c r="BA27" i="10"/>
  <c r="BK27" i="10"/>
  <c r="AD27" i="10"/>
  <c r="AR30" i="4"/>
  <c r="H31" i="4" s="1"/>
  <c r="I50" i="12" l="1"/>
  <c r="D25" i="8" s="1"/>
  <c r="O45" i="10"/>
  <c r="AB27" i="10"/>
  <c r="AC27" i="10" s="1"/>
  <c r="W31" i="1"/>
  <c r="Y28" i="7"/>
  <c r="X31" i="1"/>
  <c r="AP27" i="12"/>
  <c r="I33" i="1"/>
  <c r="P33" i="1" s="1"/>
  <c r="AD30" i="4"/>
  <c r="V30" i="4"/>
  <c r="AP27" i="9"/>
  <c r="AH30" i="4"/>
  <c r="AG30" i="4"/>
  <c r="AO27" i="10"/>
  <c r="AB30" i="4"/>
  <c r="AO27" i="12"/>
  <c r="AO27" i="9"/>
  <c r="U30" i="4"/>
  <c r="R30" i="4"/>
  <c r="P30" i="4"/>
  <c r="O31" i="9"/>
  <c r="X30" i="9"/>
  <c r="B35" i="1"/>
  <c r="X29" i="4"/>
  <c r="W29" i="4"/>
  <c r="J32" i="1"/>
  <c r="K32" i="1" s="1"/>
  <c r="L32" i="1" s="1"/>
  <c r="C8" i="13"/>
  <c r="S32" i="1"/>
  <c r="U32" i="1"/>
  <c r="P32" i="1"/>
  <c r="AO31" i="4"/>
  <c r="E32" i="4" s="1"/>
  <c r="Z28" i="12"/>
  <c r="AH28" i="12" s="1"/>
  <c r="AT28" i="12"/>
  <c r="B29" i="12" s="1"/>
  <c r="G37" i="9"/>
  <c r="AR31" i="4"/>
  <c r="H32" i="4" s="1"/>
  <c r="AQ31" i="4"/>
  <c r="G32" i="4" s="1"/>
  <c r="AN31" i="4"/>
  <c r="D32" i="4" s="1"/>
  <c r="E37" i="1"/>
  <c r="D30" i="9"/>
  <c r="U30" i="9" s="1"/>
  <c r="AP27" i="10"/>
  <c r="AL31" i="4"/>
  <c r="B32" i="4" s="1"/>
  <c r="I31" i="4"/>
  <c r="V31" i="4" s="1"/>
  <c r="R32" i="1"/>
  <c r="H30" i="9"/>
  <c r="Y30" i="9" s="1"/>
  <c r="G36" i="1"/>
  <c r="D34" i="1"/>
  <c r="H34" i="1"/>
  <c r="E30" i="9"/>
  <c r="V30" i="9" s="1"/>
  <c r="Z28" i="10"/>
  <c r="AH28" i="10" s="1"/>
  <c r="B29" i="9"/>
  <c r="Z28" i="9"/>
  <c r="AH28" i="9" s="1"/>
  <c r="B6" i="13"/>
  <c r="AI30" i="4"/>
  <c r="AS30" i="4"/>
  <c r="AT30" i="4" s="1"/>
  <c r="J30" i="4"/>
  <c r="K30" i="4" s="1"/>
  <c r="L30" i="4" s="1"/>
  <c r="S30" i="4"/>
  <c r="J29" i="7"/>
  <c r="K29" i="7" s="1"/>
  <c r="L29" i="7" s="1"/>
  <c r="D5" i="13"/>
  <c r="AH29" i="7"/>
  <c r="R29" i="7"/>
  <c r="U29" i="7"/>
  <c r="V29" i="7"/>
  <c r="S29" i="7"/>
  <c r="R33" i="1" l="1"/>
  <c r="Y31" i="1"/>
  <c r="U33" i="1"/>
  <c r="I53" i="10"/>
  <c r="I50" i="10"/>
  <c r="B25" i="8" s="1"/>
  <c r="F25" i="8" s="1"/>
  <c r="S33" i="1"/>
  <c r="AQ27" i="12"/>
  <c r="J33" i="1"/>
  <c r="K33" i="1" s="1"/>
  <c r="L33" i="1" s="1"/>
  <c r="C9" i="13"/>
  <c r="V33" i="1"/>
  <c r="AQ27" i="9"/>
  <c r="Y29" i="4"/>
  <c r="AQ27" i="10"/>
  <c r="W29" i="7"/>
  <c r="X30" i="4"/>
  <c r="R31" i="4"/>
  <c r="AB31" i="4"/>
  <c r="BO28" i="12"/>
  <c r="S31" i="4"/>
  <c r="H35" i="1"/>
  <c r="AN32" i="4"/>
  <c r="D33" i="4" s="1"/>
  <c r="O32" i="9"/>
  <c r="X31" i="9"/>
  <c r="AT28" i="10"/>
  <c r="W30" i="4"/>
  <c r="AL32" i="4"/>
  <c r="B33" i="4" s="1"/>
  <c r="I32" i="4"/>
  <c r="E38" i="1"/>
  <c r="G38" i="9"/>
  <c r="S29" i="12"/>
  <c r="I29" i="12"/>
  <c r="J29" i="12" s="1"/>
  <c r="K29" i="12" s="1"/>
  <c r="L29" i="12" s="1"/>
  <c r="X29" i="7"/>
  <c r="H30" i="7"/>
  <c r="AI29" i="7"/>
  <c r="AJ29" i="7" s="1"/>
  <c r="AD28" i="9"/>
  <c r="AA28" i="9"/>
  <c r="AB28" i="9" s="1"/>
  <c r="AC28" i="9" s="1"/>
  <c r="AM28" i="9"/>
  <c r="AN28" i="9"/>
  <c r="AK28" i="9"/>
  <c r="AJ28" i="9"/>
  <c r="E31" i="9"/>
  <c r="V31" i="9" s="1"/>
  <c r="H31" i="9"/>
  <c r="Y31" i="9" s="1"/>
  <c r="P31" i="4"/>
  <c r="AG31" i="4"/>
  <c r="AO32" i="4"/>
  <c r="E33" i="4" s="1"/>
  <c r="BA28" i="10"/>
  <c r="AA28" i="10"/>
  <c r="AD28" i="10"/>
  <c r="BK28" i="10"/>
  <c r="BF28" i="10"/>
  <c r="D29" i="10" s="1"/>
  <c r="U29" i="10" s="1"/>
  <c r="BJ28" i="10"/>
  <c r="H29" i="10" s="1"/>
  <c r="Y29" i="10" s="1"/>
  <c r="BG28" i="10"/>
  <c r="E29" i="10" s="1"/>
  <c r="V29" i="10" s="1"/>
  <c r="BI28" i="10"/>
  <c r="G29" i="10" s="1"/>
  <c r="X29" i="10" s="1"/>
  <c r="BD28" i="10"/>
  <c r="B29" i="10" s="1"/>
  <c r="AM28" i="10"/>
  <c r="AZ28" i="10"/>
  <c r="AV28" i="10"/>
  <c r="AY28" i="10"/>
  <c r="AN28" i="10"/>
  <c r="AJ28" i="10"/>
  <c r="AK28" i="10"/>
  <c r="AW28" i="10"/>
  <c r="D31" i="9"/>
  <c r="U31" i="9" s="1"/>
  <c r="AQ32" i="4"/>
  <c r="G33" i="4" s="1"/>
  <c r="AR32" i="4"/>
  <c r="H33" i="4" s="1"/>
  <c r="X32" i="1"/>
  <c r="W32" i="1"/>
  <c r="B36" i="1"/>
  <c r="I29" i="9"/>
  <c r="J29" i="9" s="1"/>
  <c r="K29" i="9" s="1"/>
  <c r="L29" i="9" s="1"/>
  <c r="S29" i="9"/>
  <c r="D35" i="1"/>
  <c r="G37" i="1"/>
  <c r="AS31" i="4"/>
  <c r="AT31" i="4" s="1"/>
  <c r="J31" i="4"/>
  <c r="K31" i="4" s="1"/>
  <c r="L31" i="4" s="1"/>
  <c r="B7" i="13"/>
  <c r="AI31" i="4"/>
  <c r="AD31" i="4"/>
  <c r="U31" i="4"/>
  <c r="AH31" i="4"/>
  <c r="BS28" i="12"/>
  <c r="AD28" i="12"/>
  <c r="AA28" i="12"/>
  <c r="AB28" i="12" s="1"/>
  <c r="AC28" i="12" s="1"/>
  <c r="BP28" i="12"/>
  <c r="BV28" i="12"/>
  <c r="BB28" i="12"/>
  <c r="BA28" i="12"/>
  <c r="AN28" i="12"/>
  <c r="AK28" i="12"/>
  <c r="AM28" i="12"/>
  <c r="BU28" i="12"/>
  <c r="AJ28" i="12"/>
  <c r="AE31" i="4"/>
  <c r="I34" i="1"/>
  <c r="V34" i="1" s="1"/>
  <c r="AD32" i="4" l="1"/>
  <c r="X33" i="1"/>
  <c r="W33" i="1"/>
  <c r="Y33" i="1" s="1"/>
  <c r="AB28" i="10"/>
  <c r="AC28" i="10" s="1"/>
  <c r="AH32" i="4"/>
  <c r="S32" i="4"/>
  <c r="V32" i="4"/>
  <c r="AG32" i="4"/>
  <c r="AE32" i="4"/>
  <c r="U32" i="4"/>
  <c r="P32" i="4"/>
  <c r="Y29" i="7"/>
  <c r="Y30" i="4"/>
  <c r="AP28" i="12"/>
  <c r="AB32" i="4"/>
  <c r="I35" i="1"/>
  <c r="C11" i="13" s="1"/>
  <c r="AO28" i="10"/>
  <c r="AO28" i="9"/>
  <c r="AO28" i="12"/>
  <c r="AP28" i="10"/>
  <c r="AP28" i="9"/>
  <c r="B30" i="9"/>
  <c r="Z29" i="9"/>
  <c r="AH29" i="9" s="1"/>
  <c r="D32" i="9"/>
  <c r="U32" i="9" s="1"/>
  <c r="BL28" i="10"/>
  <c r="W31" i="4"/>
  <c r="X31" i="4"/>
  <c r="E32" i="9"/>
  <c r="V32" i="9" s="1"/>
  <c r="I30" i="7"/>
  <c r="V30" i="7" s="1"/>
  <c r="G38" i="1"/>
  <c r="B37" i="1"/>
  <c r="I29" i="10"/>
  <c r="J29" i="10" s="1"/>
  <c r="K29" i="10" s="1"/>
  <c r="L29" i="10" s="1"/>
  <c r="S29" i="10"/>
  <c r="G39" i="9"/>
  <c r="G40" i="9" s="1"/>
  <c r="B8" i="13"/>
  <c r="J32" i="4"/>
  <c r="K32" i="4" s="1"/>
  <c r="L32" i="4" s="1"/>
  <c r="AS32" i="4"/>
  <c r="AT32" i="4" s="1"/>
  <c r="AI32" i="4"/>
  <c r="R32" i="4"/>
  <c r="D36" i="1"/>
  <c r="H32" i="9"/>
  <c r="Y32" i="9" s="1"/>
  <c r="C10" i="13"/>
  <c r="J34" i="1"/>
  <c r="K34" i="1" s="1"/>
  <c r="L34" i="1" s="1"/>
  <c r="S34" i="1"/>
  <c r="U34" i="1"/>
  <c r="P34" i="1"/>
  <c r="R34" i="1"/>
  <c r="Y32" i="1"/>
  <c r="Z29" i="12"/>
  <c r="BO29" i="12" s="1"/>
  <c r="E39" i="1"/>
  <c r="E40" i="1" s="1"/>
  <c r="I33" i="4"/>
  <c r="AG33" i="4" s="1"/>
  <c r="O33" i="9"/>
  <c r="X32" i="9"/>
  <c r="H36" i="1"/>
  <c r="P35" i="1" l="1"/>
  <c r="S35" i="1"/>
  <c r="E41" i="1"/>
  <c r="J35" i="1"/>
  <c r="I48" i="1" s="1"/>
  <c r="C10" i="8" s="1"/>
  <c r="G41" i="9"/>
  <c r="R35" i="1"/>
  <c r="V35" i="1"/>
  <c r="AQ28" i="9"/>
  <c r="X32" i="4"/>
  <c r="W32" i="4"/>
  <c r="U35" i="1"/>
  <c r="AQ28" i="12"/>
  <c r="P33" i="4"/>
  <c r="Y31" i="4"/>
  <c r="V33" i="4"/>
  <c r="AD33" i="4"/>
  <c r="S33" i="4"/>
  <c r="AH29" i="12"/>
  <c r="U33" i="4"/>
  <c r="AQ28" i="10"/>
  <c r="O34" i="9"/>
  <c r="X33" i="9"/>
  <c r="D37" i="1"/>
  <c r="I36" i="1"/>
  <c r="R36" i="1" s="1"/>
  <c r="S30" i="9"/>
  <c r="I30" i="9"/>
  <c r="J30" i="9" s="1"/>
  <c r="K30" i="9" s="1"/>
  <c r="L30" i="9" s="1"/>
  <c r="H37" i="1"/>
  <c r="AB33" i="4"/>
  <c r="R33" i="4"/>
  <c r="H33" i="9"/>
  <c r="Y33" i="9" s="1"/>
  <c r="G39" i="1"/>
  <c r="G40" i="1" s="1"/>
  <c r="D33" i="9"/>
  <c r="U33" i="9" s="1"/>
  <c r="Z29" i="10"/>
  <c r="AH29" i="10" s="1"/>
  <c r="E33" i="9"/>
  <c r="V33" i="9" s="1"/>
  <c r="B9" i="13"/>
  <c r="AI33" i="4"/>
  <c r="AS33" i="4"/>
  <c r="J33" i="4"/>
  <c r="K33" i="4" s="1"/>
  <c r="L33" i="4" s="1"/>
  <c r="BV29" i="12"/>
  <c r="BS29" i="12"/>
  <c r="AZ29" i="12"/>
  <c r="H30" i="12" s="1"/>
  <c r="BA29" i="12"/>
  <c r="AA29" i="12"/>
  <c r="AB29" i="12" s="1"/>
  <c r="AC29" i="12" s="1"/>
  <c r="AD29" i="12"/>
  <c r="BP29" i="12"/>
  <c r="BU29" i="12"/>
  <c r="AM29" i="12"/>
  <c r="AK29" i="12"/>
  <c r="AN29" i="12"/>
  <c r="AJ29" i="12"/>
  <c r="AH33" i="4"/>
  <c r="W34" i="1"/>
  <c r="X34" i="1"/>
  <c r="AE33" i="4"/>
  <c r="B38" i="1"/>
  <c r="AH30" i="7"/>
  <c r="H31" i="7" s="1"/>
  <c r="J30" i="7"/>
  <c r="K30" i="7" s="1"/>
  <c r="L30" i="7" s="1"/>
  <c r="AB30" i="7"/>
  <c r="AG30" i="7"/>
  <c r="G31" i="7" s="1"/>
  <c r="P30" i="7"/>
  <c r="R30" i="7"/>
  <c r="D6" i="13"/>
  <c r="AE30" i="7"/>
  <c r="E31" i="7" s="1"/>
  <c r="AD30" i="7"/>
  <c r="D31" i="7" s="1"/>
  <c r="S30" i="7"/>
  <c r="U30" i="7"/>
  <c r="AD29" i="9"/>
  <c r="AA29" i="9"/>
  <c r="AB29" i="9" s="1"/>
  <c r="AC29" i="9" s="1"/>
  <c r="AJ29" i="9"/>
  <c r="AM29" i="9"/>
  <c r="AN29" i="9"/>
  <c r="AK29" i="9"/>
  <c r="X35" i="1" l="1"/>
  <c r="E44" i="1"/>
  <c r="K35" i="1"/>
  <c r="G41" i="1"/>
  <c r="X33" i="4"/>
  <c r="V36" i="1"/>
  <c r="W35" i="1"/>
  <c r="Y35" i="1" s="1"/>
  <c r="Y32" i="4"/>
  <c r="I37" i="1"/>
  <c r="P37" i="1" s="1"/>
  <c r="AO29" i="9"/>
  <c r="AP29" i="9"/>
  <c r="AO29" i="12"/>
  <c r="BB29" i="12"/>
  <c r="W33" i="4"/>
  <c r="AP29" i="12"/>
  <c r="AH31" i="7"/>
  <c r="H32" i="7" s="1"/>
  <c r="B31" i="7"/>
  <c r="AI30" i="7"/>
  <c r="AJ30" i="7" s="1"/>
  <c r="B39" i="1"/>
  <c r="B40" i="1" s="1"/>
  <c r="E34" i="9"/>
  <c r="V34" i="9" s="1"/>
  <c r="Y34" i="1"/>
  <c r="Y30" i="12"/>
  <c r="I30" i="12"/>
  <c r="J30" i="12" s="1"/>
  <c r="K30" i="12" s="1"/>
  <c r="L30" i="12" s="1"/>
  <c r="AQ33" i="4"/>
  <c r="G34" i="4" s="1"/>
  <c r="AO33" i="4"/>
  <c r="E34" i="4" s="1"/>
  <c r="AN33" i="4"/>
  <c r="D34" i="4" s="1"/>
  <c r="AR33" i="4"/>
  <c r="H34" i="4" s="1"/>
  <c r="AL33" i="4"/>
  <c r="B34" i="4" s="1"/>
  <c r="B31" i="9"/>
  <c r="Z30" i="9"/>
  <c r="D38" i="1"/>
  <c r="O35" i="9"/>
  <c r="X34" i="9"/>
  <c r="AD31" i="7"/>
  <c r="D32" i="7" s="1"/>
  <c r="X30" i="7"/>
  <c r="W30" i="7"/>
  <c r="AD29" i="10"/>
  <c r="BA29" i="10"/>
  <c r="AA29" i="10"/>
  <c r="BK29" i="10"/>
  <c r="BF29" i="10"/>
  <c r="D30" i="10" s="1"/>
  <c r="U30" i="10" s="1"/>
  <c r="BI29" i="10"/>
  <c r="G30" i="10" s="1"/>
  <c r="X30" i="10" s="1"/>
  <c r="BG29" i="10"/>
  <c r="E30" i="10" s="1"/>
  <c r="V30" i="10" s="1"/>
  <c r="BJ29" i="10"/>
  <c r="H30" i="10" s="1"/>
  <c r="Y30" i="10" s="1"/>
  <c r="BD29" i="10"/>
  <c r="B30" i="10" s="1"/>
  <c r="AN29" i="10"/>
  <c r="AZ29" i="10"/>
  <c r="AY29" i="10"/>
  <c r="AJ29" i="10"/>
  <c r="AM29" i="10"/>
  <c r="AW29" i="10"/>
  <c r="AV29" i="10"/>
  <c r="AK29" i="10"/>
  <c r="L35" i="1"/>
  <c r="I49" i="1"/>
  <c r="C11" i="8" s="1"/>
  <c r="J36" i="1"/>
  <c r="K36" i="1" s="1"/>
  <c r="L36" i="1" s="1"/>
  <c r="C12" i="13"/>
  <c r="S36" i="1"/>
  <c r="U36" i="1"/>
  <c r="P36" i="1"/>
  <c r="AE31" i="7"/>
  <c r="E32" i="7" s="1"/>
  <c r="AG31" i="7"/>
  <c r="G32" i="7" s="1"/>
  <c r="AT29" i="10"/>
  <c r="D34" i="9"/>
  <c r="U34" i="9" s="1"/>
  <c r="H34" i="9"/>
  <c r="Y34" i="9" s="1"/>
  <c r="H38" i="1"/>
  <c r="J37" i="1" l="1"/>
  <c r="K37" i="1" s="1"/>
  <c r="L37" i="1" s="1"/>
  <c r="V37" i="1"/>
  <c r="Y33" i="4"/>
  <c r="G44" i="1"/>
  <c r="AB29" i="10"/>
  <c r="AC29" i="10" s="1"/>
  <c r="R37" i="1"/>
  <c r="U37" i="1"/>
  <c r="S37" i="1"/>
  <c r="X37" i="1" s="1"/>
  <c r="C13" i="13"/>
  <c r="B41" i="1"/>
  <c r="Y30" i="7"/>
  <c r="AQ29" i="9"/>
  <c r="AP29" i="10"/>
  <c r="AQ29" i="12"/>
  <c r="D35" i="9"/>
  <c r="U35" i="9" s="1"/>
  <c r="BG30" i="10"/>
  <c r="E31" i="10" s="1"/>
  <c r="V31" i="10" s="1"/>
  <c r="H35" i="9"/>
  <c r="Y35" i="9" s="1"/>
  <c r="AE32" i="7"/>
  <c r="E33" i="7" s="1"/>
  <c r="I30" i="10"/>
  <c r="J30" i="10" s="1"/>
  <c r="K30" i="10" s="1"/>
  <c r="L30" i="10" s="1"/>
  <c r="S30" i="10"/>
  <c r="BF30" i="10"/>
  <c r="D31" i="10" s="1"/>
  <c r="U31" i="10" s="1"/>
  <c r="AD32" i="7"/>
  <c r="D33" i="7" s="1"/>
  <c r="D39" i="1"/>
  <c r="D40" i="1" s="1"/>
  <c r="I40" i="1" s="1"/>
  <c r="I31" i="9"/>
  <c r="J31" i="9" s="1"/>
  <c r="K31" i="9" s="1"/>
  <c r="L31" i="9" s="1"/>
  <c r="S31" i="9"/>
  <c r="AO34" i="4"/>
  <c r="E35" i="4" s="1"/>
  <c r="Z30" i="12"/>
  <c r="AN30" i="12" s="1"/>
  <c r="W36" i="1"/>
  <c r="X36" i="1"/>
  <c r="BJ30" i="10"/>
  <c r="H31" i="10" s="1"/>
  <c r="Y31" i="10" s="1"/>
  <c r="I34" i="4"/>
  <c r="P34" i="4" s="1"/>
  <c r="AL34" i="4"/>
  <c r="B35" i="4" s="1"/>
  <c r="AQ34" i="4"/>
  <c r="G35" i="4" s="1"/>
  <c r="E35" i="9"/>
  <c r="V35" i="9" s="1"/>
  <c r="AH32" i="7"/>
  <c r="H33" i="7" s="1"/>
  <c r="H39" i="1"/>
  <c r="H40" i="1" s="1"/>
  <c r="AD30" i="9"/>
  <c r="AA30" i="9"/>
  <c r="AB30" i="9" s="1"/>
  <c r="AC30" i="9" s="1"/>
  <c r="AK30" i="9"/>
  <c r="AM30" i="9"/>
  <c r="AJ30" i="9"/>
  <c r="AN30" i="9"/>
  <c r="AR34" i="4"/>
  <c r="H35" i="4" s="1"/>
  <c r="AT33" i="4"/>
  <c r="AO29" i="10"/>
  <c r="AG32" i="7"/>
  <c r="G33" i="7" s="1"/>
  <c r="BI30" i="10"/>
  <c r="G31" i="10" s="1"/>
  <c r="X31" i="10" s="1"/>
  <c r="BL29" i="10"/>
  <c r="O36" i="9"/>
  <c r="X35" i="9"/>
  <c r="AH30" i="9"/>
  <c r="AN34" i="4"/>
  <c r="D35" i="4" s="1"/>
  <c r="I38" i="1"/>
  <c r="V38" i="1" s="1"/>
  <c r="I31" i="7"/>
  <c r="AB31" i="7"/>
  <c r="W37" i="1" l="1"/>
  <c r="Y37" i="1" s="1"/>
  <c r="B44" i="1"/>
  <c r="AD34" i="4"/>
  <c r="C16" i="13"/>
  <c r="S40" i="1"/>
  <c r="U40" i="1"/>
  <c r="P40" i="1"/>
  <c r="V40" i="1"/>
  <c r="H41" i="1"/>
  <c r="D41" i="1"/>
  <c r="R40" i="1"/>
  <c r="AQ29" i="10"/>
  <c r="U34" i="4"/>
  <c r="BU30" i="12"/>
  <c r="AH34" i="4"/>
  <c r="AB34" i="4"/>
  <c r="AE34" i="4"/>
  <c r="R34" i="4"/>
  <c r="V34" i="4"/>
  <c r="AG34" i="4"/>
  <c r="D7" i="13"/>
  <c r="J31" i="7"/>
  <c r="K31" i="7" s="1"/>
  <c r="L31" i="7" s="1"/>
  <c r="R31" i="7"/>
  <c r="S31" i="7"/>
  <c r="V31" i="7"/>
  <c r="U31" i="7"/>
  <c r="R38" i="1"/>
  <c r="P31" i="7"/>
  <c r="AG33" i="7"/>
  <c r="G34" i="7" s="1"/>
  <c r="E36" i="9"/>
  <c r="V36" i="9" s="1"/>
  <c r="I35" i="4"/>
  <c r="R35" i="4" s="1"/>
  <c r="Y36" i="1"/>
  <c r="I39" i="1"/>
  <c r="J40" i="1" s="1"/>
  <c r="K40" i="1" s="1"/>
  <c r="L40" i="1" s="1"/>
  <c r="BS30" i="12"/>
  <c r="BP30" i="12"/>
  <c r="AD30" i="12"/>
  <c r="AH30" i="12"/>
  <c r="BO30" i="12"/>
  <c r="AJ30" i="12"/>
  <c r="AV30" i="12"/>
  <c r="D31" i="12" s="1"/>
  <c r="U31" i="12" s="1"/>
  <c r="AM30" i="12"/>
  <c r="AW30" i="12"/>
  <c r="E31" i="12" s="1"/>
  <c r="V31" i="12" s="1"/>
  <c r="BV30" i="12"/>
  <c r="AZ30" i="12"/>
  <c r="H31" i="12" s="1"/>
  <c r="Y31" i="12" s="1"/>
  <c r="AY30" i="12"/>
  <c r="G31" i="12" s="1"/>
  <c r="X31" i="12" s="1"/>
  <c r="AT30" i="12"/>
  <c r="B31" i="12" s="1"/>
  <c r="AA30" i="12"/>
  <c r="AB30" i="12" s="1"/>
  <c r="AC30" i="12" s="1"/>
  <c r="BA30" i="12"/>
  <c r="AK30" i="12"/>
  <c r="O37" i="9"/>
  <c r="X36" i="9"/>
  <c r="C14" i="13"/>
  <c r="J38" i="1"/>
  <c r="K38" i="1" s="1"/>
  <c r="L38" i="1" s="1"/>
  <c r="S38" i="1"/>
  <c r="U38" i="1"/>
  <c r="P38" i="1"/>
  <c r="AP30" i="9"/>
  <c r="AO30" i="9"/>
  <c r="AH33" i="7"/>
  <c r="H34" i="7" s="1"/>
  <c r="B32" i="9"/>
  <c r="Z31" i="9"/>
  <c r="AH31" i="9" s="1"/>
  <c r="AD33" i="7"/>
  <c r="D34" i="7" s="1"/>
  <c r="AE33" i="7"/>
  <c r="E34" i="7" s="1"/>
  <c r="D36" i="9"/>
  <c r="U36" i="9" s="1"/>
  <c r="B32" i="7"/>
  <c r="AI31" i="7"/>
  <c r="AJ31" i="7" s="1"/>
  <c r="J34" i="4"/>
  <c r="K34" i="4" s="1"/>
  <c r="L34" i="4" s="1"/>
  <c r="AI34" i="4"/>
  <c r="AS34" i="4"/>
  <c r="AT34" i="4" s="1"/>
  <c r="B10" i="13"/>
  <c r="S34" i="4"/>
  <c r="Z30" i="10"/>
  <c r="AT30" i="10" s="1"/>
  <c r="BD30" i="10"/>
  <c r="B31" i="10" s="1"/>
  <c r="H36" i="9"/>
  <c r="Y36" i="9" s="1"/>
  <c r="R39" i="1" l="1"/>
  <c r="D44" i="1"/>
  <c r="H44" i="1"/>
  <c r="C13" i="8"/>
  <c r="W40" i="1"/>
  <c r="X40" i="1"/>
  <c r="X34" i="4"/>
  <c r="I41" i="1"/>
  <c r="AH35" i="4"/>
  <c r="U35" i="4"/>
  <c r="V35" i="4"/>
  <c r="S35" i="4"/>
  <c r="AB35" i="4"/>
  <c r="AG35" i="4"/>
  <c r="AE35" i="4"/>
  <c r="P35" i="4"/>
  <c r="AD35" i="4"/>
  <c r="W34" i="4"/>
  <c r="H37" i="9"/>
  <c r="Y37" i="9" s="1"/>
  <c r="AH30" i="10"/>
  <c r="AA31" i="9"/>
  <c r="AB31" i="9" s="1"/>
  <c r="AC31" i="9" s="1"/>
  <c r="AD31" i="9"/>
  <c r="AN31" i="9"/>
  <c r="AM31" i="9"/>
  <c r="AK31" i="9"/>
  <c r="AJ31" i="9"/>
  <c r="AH34" i="7"/>
  <c r="H35" i="7" s="1"/>
  <c r="AY31" i="12"/>
  <c r="G32" i="12" s="1"/>
  <c r="X32" i="12" s="1"/>
  <c r="AW31" i="12"/>
  <c r="E32" i="12" s="1"/>
  <c r="V32" i="12" s="1"/>
  <c r="W31" i="7"/>
  <c r="X31" i="7"/>
  <c r="AB32" i="7"/>
  <c r="I32" i="7"/>
  <c r="P32" i="7" s="1"/>
  <c r="AE34" i="7"/>
  <c r="E35" i="7" s="1"/>
  <c r="S32" i="9"/>
  <c r="I32" i="9"/>
  <c r="J32" i="9" s="1"/>
  <c r="K32" i="9" s="1"/>
  <c r="L32" i="9" s="1"/>
  <c r="AQ30" i="9"/>
  <c r="O38" i="9"/>
  <c r="X37" i="9"/>
  <c r="AZ31" i="12"/>
  <c r="H32" i="12" s="1"/>
  <c r="Y32" i="12" s="1"/>
  <c r="AP30" i="12"/>
  <c r="AO30" i="12"/>
  <c r="C15" i="13"/>
  <c r="J39" i="1"/>
  <c r="K39" i="1" s="1"/>
  <c r="L39" i="1" s="1"/>
  <c r="S39" i="1"/>
  <c r="U39" i="1"/>
  <c r="P39" i="1"/>
  <c r="B11" i="13"/>
  <c r="AI35" i="4"/>
  <c r="AS35" i="4"/>
  <c r="J35" i="4"/>
  <c r="AG34" i="7"/>
  <c r="G35" i="7" s="1"/>
  <c r="V39" i="1"/>
  <c r="AD30" i="10"/>
  <c r="BA30" i="10"/>
  <c r="BL30" i="10"/>
  <c r="AA30" i="10"/>
  <c r="BK30" i="10"/>
  <c r="AZ30" i="10"/>
  <c r="AY30" i="10"/>
  <c r="AK30" i="10"/>
  <c r="AJ30" i="10"/>
  <c r="AW30" i="10"/>
  <c r="AN30" i="10"/>
  <c r="AV30" i="10"/>
  <c r="AM30" i="10"/>
  <c r="AV31" i="12"/>
  <c r="D32" i="12" s="1"/>
  <c r="U32" i="12" s="1"/>
  <c r="I31" i="10"/>
  <c r="J31" i="10" s="1"/>
  <c r="K31" i="10" s="1"/>
  <c r="L31" i="10" s="1"/>
  <c r="S31" i="10"/>
  <c r="D37" i="9"/>
  <c r="U37" i="9" s="1"/>
  <c r="AD34" i="7"/>
  <c r="D35" i="7" s="1"/>
  <c r="X38" i="1"/>
  <c r="W38" i="1"/>
  <c r="S31" i="12"/>
  <c r="I31" i="12"/>
  <c r="J31" i="12" s="1"/>
  <c r="K31" i="12" s="1"/>
  <c r="L31" i="12" s="1"/>
  <c r="BB30" i="12"/>
  <c r="E37" i="9"/>
  <c r="V37" i="9" s="1"/>
  <c r="Y34" i="4" l="1"/>
  <c r="V41" i="1"/>
  <c r="C17" i="13"/>
  <c r="I46" i="1"/>
  <c r="AB30" i="10"/>
  <c r="AC30" i="10" s="1"/>
  <c r="Y40" i="1"/>
  <c r="J41" i="1"/>
  <c r="K41" i="1" s="1"/>
  <c r="L41" i="1" s="1"/>
  <c r="S41" i="1"/>
  <c r="U41" i="1"/>
  <c r="P41" i="1"/>
  <c r="R41" i="1"/>
  <c r="W35" i="4"/>
  <c r="I44" i="1"/>
  <c r="C6" i="8" s="1"/>
  <c r="X35" i="4"/>
  <c r="AP31" i="9"/>
  <c r="Y31" i="7"/>
  <c r="AP30" i="10"/>
  <c r="AO30" i="10"/>
  <c r="Z31" i="10"/>
  <c r="AT31" i="10" s="1"/>
  <c r="AV32" i="12"/>
  <c r="D33" i="12" s="1"/>
  <c r="U33" i="12" s="1"/>
  <c r="AY32" i="12"/>
  <c r="G33" i="12" s="1"/>
  <c r="X33" i="12" s="1"/>
  <c r="AO31" i="9"/>
  <c r="D38" i="9"/>
  <c r="U38" i="9" s="1"/>
  <c r="AW32" i="12"/>
  <c r="E33" i="12" s="1"/>
  <c r="V33" i="12" s="1"/>
  <c r="AT31" i="12"/>
  <c r="B32" i="12" s="1"/>
  <c r="Z31" i="12"/>
  <c r="I48" i="4"/>
  <c r="B10" i="8" s="1"/>
  <c r="K35" i="4"/>
  <c r="X39" i="1"/>
  <c r="W39" i="1"/>
  <c r="B33" i="9"/>
  <c r="Z32" i="9"/>
  <c r="AH32" i="9" s="1"/>
  <c r="D8" i="13"/>
  <c r="J32" i="7"/>
  <c r="K32" i="7" s="1"/>
  <c r="L32" i="7" s="1"/>
  <c r="R32" i="7"/>
  <c r="V32" i="7"/>
  <c r="U32" i="7"/>
  <c r="S32" i="7"/>
  <c r="E38" i="9"/>
  <c r="V38" i="9" s="1"/>
  <c r="Y38" i="1"/>
  <c r="AR35" i="4"/>
  <c r="H36" i="4" s="1"/>
  <c r="AQ35" i="4"/>
  <c r="G36" i="4" s="1"/>
  <c r="AN35" i="4"/>
  <c r="D36" i="4" s="1"/>
  <c r="AO35" i="4"/>
  <c r="E36" i="4" s="1"/>
  <c r="AL35" i="4"/>
  <c r="B36" i="4" s="1"/>
  <c r="AQ30" i="12"/>
  <c r="AZ32" i="12"/>
  <c r="H33" i="12" s="1"/>
  <c r="Y33" i="12" s="1"/>
  <c r="O39" i="9"/>
  <c r="O40" i="9" s="1"/>
  <c r="X38" i="9"/>
  <c r="B33" i="7"/>
  <c r="AI32" i="7"/>
  <c r="AJ32" i="7" s="1"/>
  <c r="H38" i="9"/>
  <c r="Y38" i="9" s="1"/>
  <c r="C12" i="8" l="1"/>
  <c r="C8" i="8"/>
  <c r="I50" i="1"/>
  <c r="I51" i="1"/>
  <c r="I45" i="1"/>
  <c r="C9" i="8" s="1"/>
  <c r="Y35" i="4"/>
  <c r="X41" i="1"/>
  <c r="W41" i="1"/>
  <c r="O41" i="9"/>
  <c r="X40" i="9"/>
  <c r="AH31" i="10"/>
  <c r="Y39" i="1"/>
  <c r="X32" i="7"/>
  <c r="AQ31" i="9"/>
  <c r="AQ30" i="10"/>
  <c r="W32" i="7"/>
  <c r="I33" i="7"/>
  <c r="P33" i="7" s="1"/>
  <c r="AB33" i="7"/>
  <c r="AL36" i="4"/>
  <c r="B37" i="4" s="1"/>
  <c r="I36" i="4"/>
  <c r="AH36" i="4" s="1"/>
  <c r="E39" i="9"/>
  <c r="V39" i="9" s="1"/>
  <c r="E40" i="9" s="1"/>
  <c r="V40" i="9" s="1"/>
  <c r="BV31" i="12"/>
  <c r="BP31" i="12"/>
  <c r="AA31" i="12"/>
  <c r="AB31" i="12" s="1"/>
  <c r="AC31" i="12" s="1"/>
  <c r="BS31" i="12"/>
  <c r="AD31" i="12"/>
  <c r="BA31" i="12"/>
  <c r="BB31" i="12"/>
  <c r="AK31" i="12"/>
  <c r="AM31" i="12"/>
  <c r="AN31" i="12"/>
  <c r="AJ31" i="12"/>
  <c r="BU31" i="12"/>
  <c r="AW33" i="12"/>
  <c r="E34" i="12" s="1"/>
  <c r="V34" i="12" s="1"/>
  <c r="AO36" i="4"/>
  <c r="E37" i="4" s="1"/>
  <c r="AT35" i="4"/>
  <c r="AD32" i="9"/>
  <c r="AA32" i="9"/>
  <c r="AB32" i="9" s="1"/>
  <c r="AC32" i="9" s="1"/>
  <c r="AK32" i="9"/>
  <c r="AN32" i="9"/>
  <c r="AM32" i="9"/>
  <c r="AJ32" i="9"/>
  <c r="I32" i="12"/>
  <c r="J32" i="12" s="1"/>
  <c r="K32" i="12" s="1"/>
  <c r="L32" i="12" s="1"/>
  <c r="S32" i="12"/>
  <c r="D39" i="9"/>
  <c r="U39" i="9" s="1"/>
  <c r="D40" i="9" s="1"/>
  <c r="U40" i="9" s="1"/>
  <c r="AV33" i="12"/>
  <c r="D34" i="12" s="1"/>
  <c r="U34" i="12" s="1"/>
  <c r="AZ33" i="12"/>
  <c r="H34" i="12" s="1"/>
  <c r="Y34" i="12" s="1"/>
  <c r="AR36" i="4"/>
  <c r="H37" i="4" s="1"/>
  <c r="H39" i="9"/>
  <c r="Y39" i="9" s="1"/>
  <c r="H40" i="9" s="1"/>
  <c r="Y40" i="9" s="1"/>
  <c r="AN36" i="4"/>
  <c r="D37" i="4" s="1"/>
  <c r="S33" i="9"/>
  <c r="I33" i="9"/>
  <c r="J33" i="9" s="1"/>
  <c r="K33" i="9" s="1"/>
  <c r="L33" i="9" s="1"/>
  <c r="I49" i="4"/>
  <c r="B11" i="8" s="1"/>
  <c r="L35" i="4"/>
  <c r="AH31" i="12"/>
  <c r="C14" i="8"/>
  <c r="AY33" i="12"/>
  <c r="G34" i="12" s="1"/>
  <c r="X34" i="12" s="1"/>
  <c r="X39" i="9"/>
  <c r="AQ36" i="4"/>
  <c r="G37" i="4" s="1"/>
  <c r="U36" i="4"/>
  <c r="H10" i="8"/>
  <c r="BO31" i="12"/>
  <c r="BK31" i="10"/>
  <c r="BA31" i="10"/>
  <c r="AD31" i="10"/>
  <c r="AA31" i="10"/>
  <c r="BJ31" i="10"/>
  <c r="H32" i="10" s="1"/>
  <c r="Y32" i="10" s="1"/>
  <c r="BF31" i="10"/>
  <c r="D32" i="10" s="1"/>
  <c r="U32" i="10" s="1"/>
  <c r="BI31" i="10"/>
  <c r="G32" i="10" s="1"/>
  <c r="X32" i="10" s="1"/>
  <c r="BD31" i="10"/>
  <c r="B32" i="10" s="1"/>
  <c r="BG31" i="10"/>
  <c r="E32" i="10" s="1"/>
  <c r="V32" i="10" s="1"/>
  <c r="AV31" i="10"/>
  <c r="AY31" i="10"/>
  <c r="AN31" i="10"/>
  <c r="AK31" i="10"/>
  <c r="AJ31" i="10"/>
  <c r="AM31" i="10"/>
  <c r="AZ31" i="10"/>
  <c r="AW31" i="10"/>
  <c r="Y41" i="1" l="1"/>
  <c r="C7" i="8"/>
  <c r="X41" i="9"/>
  <c r="O45" i="9"/>
  <c r="I53" i="9" s="1"/>
  <c r="AB31" i="10"/>
  <c r="AC31" i="10" s="1"/>
  <c r="AE36" i="4"/>
  <c r="D41" i="9"/>
  <c r="U41" i="9" s="1"/>
  <c r="E41" i="9"/>
  <c r="V41" i="9" s="1"/>
  <c r="H41" i="9"/>
  <c r="Y41" i="9" s="1"/>
  <c r="Y32" i="7"/>
  <c r="P36" i="4"/>
  <c r="AD36" i="4"/>
  <c r="S36" i="4"/>
  <c r="R36" i="4"/>
  <c r="V36" i="4"/>
  <c r="AB36" i="4"/>
  <c r="AG36" i="4"/>
  <c r="AP31" i="10"/>
  <c r="AP32" i="9"/>
  <c r="AO32" i="9"/>
  <c r="BI32" i="10"/>
  <c r="G33" i="10" s="1"/>
  <c r="X33" i="10" s="1"/>
  <c r="AY34" i="12"/>
  <c r="G35" i="12" s="1"/>
  <c r="X35" i="12" s="1"/>
  <c r="H11" i="8"/>
  <c r="AW34" i="12"/>
  <c r="E35" i="12" s="1"/>
  <c r="V35" i="12" s="1"/>
  <c r="BF32" i="10"/>
  <c r="D33" i="10" s="1"/>
  <c r="U33" i="10" s="1"/>
  <c r="AZ34" i="12"/>
  <c r="H35" i="12" s="1"/>
  <c r="Y35" i="12" s="1"/>
  <c r="B12" i="13"/>
  <c r="J36" i="4"/>
  <c r="K36" i="4" s="1"/>
  <c r="L36" i="4" s="1"/>
  <c r="AS36" i="4"/>
  <c r="AT36" i="4" s="1"/>
  <c r="AI36" i="4"/>
  <c r="B34" i="7"/>
  <c r="AI33" i="7"/>
  <c r="AJ33" i="7" s="1"/>
  <c r="AV34" i="12"/>
  <c r="D35" i="12" s="1"/>
  <c r="U35" i="12" s="1"/>
  <c r="BG32" i="10"/>
  <c r="E33" i="10" s="1"/>
  <c r="V33" i="10" s="1"/>
  <c r="BJ32" i="10"/>
  <c r="H33" i="10" s="1"/>
  <c r="Y33" i="10" s="1"/>
  <c r="AO31" i="10"/>
  <c r="AP31" i="12"/>
  <c r="AO31" i="12"/>
  <c r="B34" i="9"/>
  <c r="Z33" i="9"/>
  <c r="AH33" i="9" s="1"/>
  <c r="S32" i="10"/>
  <c r="I32" i="10"/>
  <c r="J32" i="10" s="1"/>
  <c r="K32" i="10" s="1"/>
  <c r="L32" i="10" s="1"/>
  <c r="BL31" i="10"/>
  <c r="AT32" i="12"/>
  <c r="B33" i="12" s="1"/>
  <c r="Z32" i="12"/>
  <c r="AH32" i="12" s="1"/>
  <c r="I37" i="4"/>
  <c r="D9" i="13"/>
  <c r="J33" i="7"/>
  <c r="K33" i="7" s="1"/>
  <c r="L33" i="7" s="1"/>
  <c r="V33" i="7"/>
  <c r="U33" i="7"/>
  <c r="S33" i="7"/>
  <c r="R33" i="7"/>
  <c r="U44" i="9" l="1"/>
  <c r="D44" i="9"/>
  <c r="I50" i="9"/>
  <c r="C25" i="8" s="1"/>
  <c r="G25" i="8" s="1"/>
  <c r="E44" i="9"/>
  <c r="V44" i="9"/>
  <c r="AQ31" i="10"/>
  <c r="AQ32" i="9"/>
  <c r="W36" i="4"/>
  <c r="X36" i="4"/>
  <c r="X33" i="7"/>
  <c r="BO32" i="12"/>
  <c r="J37" i="4"/>
  <c r="K37" i="4" s="1"/>
  <c r="L37" i="4" s="1"/>
  <c r="AS37" i="4"/>
  <c r="B13" i="13"/>
  <c r="AI37" i="4"/>
  <c r="AG37" i="4"/>
  <c r="BJ33" i="10"/>
  <c r="H34" i="10" s="1"/>
  <c r="Y34" i="10" s="1"/>
  <c r="AB34" i="7"/>
  <c r="I34" i="7"/>
  <c r="P34" i="7" s="1"/>
  <c r="V37" i="4"/>
  <c r="W33" i="7"/>
  <c r="AQ31" i="12"/>
  <c r="U37" i="4"/>
  <c r="AH37" i="4"/>
  <c r="BI33" i="10"/>
  <c r="G34" i="10" s="1"/>
  <c r="X34" i="10" s="1"/>
  <c r="AB37" i="4"/>
  <c r="BS32" i="12"/>
  <c r="AA32" i="12"/>
  <c r="AB32" i="12" s="1"/>
  <c r="AC32" i="12" s="1"/>
  <c r="BA32" i="12"/>
  <c r="BB32" i="12"/>
  <c r="BP32" i="12"/>
  <c r="AD32" i="12"/>
  <c r="BV32" i="12"/>
  <c r="AN32" i="12"/>
  <c r="AM32" i="12"/>
  <c r="AK32" i="12"/>
  <c r="BU32" i="12"/>
  <c r="AJ32" i="12"/>
  <c r="S37" i="4"/>
  <c r="AA33" i="9"/>
  <c r="AB33" i="9" s="1"/>
  <c r="AC33" i="9" s="1"/>
  <c r="AD33" i="9"/>
  <c r="AN33" i="9"/>
  <c r="AK33" i="9"/>
  <c r="AM33" i="9"/>
  <c r="AJ33" i="9"/>
  <c r="AD37" i="4"/>
  <c r="P37" i="4"/>
  <c r="I33" i="12"/>
  <c r="J33" i="12" s="1"/>
  <c r="K33" i="12" s="1"/>
  <c r="L33" i="12" s="1"/>
  <c r="S33" i="12"/>
  <c r="Z32" i="10"/>
  <c r="AT32" i="10" s="1"/>
  <c r="BD32" i="10"/>
  <c r="B33" i="10" s="1"/>
  <c r="AE37" i="4"/>
  <c r="I34" i="9"/>
  <c r="J34" i="9" s="1"/>
  <c r="K34" i="9" s="1"/>
  <c r="L34" i="9" s="1"/>
  <c r="S34" i="9"/>
  <c r="BG33" i="10"/>
  <c r="E34" i="10" s="1"/>
  <c r="V34" i="10" s="1"/>
  <c r="R37" i="4"/>
  <c r="BF33" i="10"/>
  <c r="D34" i="10" s="1"/>
  <c r="U34" i="10" s="1"/>
  <c r="Y36" i="4" l="1"/>
  <c r="X44" i="9"/>
  <c r="G44" i="9"/>
  <c r="H44" i="9"/>
  <c r="Y44" i="9"/>
  <c r="Y33" i="7"/>
  <c r="AP33" i="9"/>
  <c r="AO32" i="12"/>
  <c r="AO33" i="9"/>
  <c r="B35" i="9"/>
  <c r="Z34" i="9"/>
  <c r="I33" i="10"/>
  <c r="J33" i="10" s="1"/>
  <c r="K33" i="10" s="1"/>
  <c r="L33" i="10" s="1"/>
  <c r="S33" i="10"/>
  <c r="AN37" i="4"/>
  <c r="D38" i="4" s="1"/>
  <c r="AO37" i="4"/>
  <c r="E38" i="4" s="1"/>
  <c r="AR37" i="4"/>
  <c r="H38" i="4" s="1"/>
  <c r="AQ37" i="4"/>
  <c r="G38" i="4" s="1"/>
  <c r="AL37" i="4"/>
  <c r="B38" i="4" s="1"/>
  <c r="X37" i="4"/>
  <c r="W37" i="4"/>
  <c r="AI34" i="7"/>
  <c r="AJ34" i="7" s="1"/>
  <c r="B35" i="7"/>
  <c r="AA32" i="10"/>
  <c r="AB32" i="10" s="1"/>
  <c r="AC32" i="10" s="1"/>
  <c r="BL32" i="10"/>
  <c r="BA32" i="10"/>
  <c r="BK32" i="10"/>
  <c r="AD32" i="10"/>
  <c r="AZ32" i="10"/>
  <c r="AM32" i="10"/>
  <c r="AW32" i="10"/>
  <c r="AN32" i="10"/>
  <c r="AV32" i="10"/>
  <c r="AK32" i="10"/>
  <c r="AY32" i="10"/>
  <c r="AJ32" i="10"/>
  <c r="AP32" i="12"/>
  <c r="AH32" i="10"/>
  <c r="AT33" i="12"/>
  <c r="B34" i="12" s="1"/>
  <c r="Z33" i="12"/>
  <c r="AH33" i="12" s="1"/>
  <c r="D10" i="13"/>
  <c r="J34" i="7"/>
  <c r="K34" i="7" s="1"/>
  <c r="L34" i="7" s="1"/>
  <c r="R34" i="7"/>
  <c r="V34" i="7"/>
  <c r="S34" i="7"/>
  <c r="U34" i="7"/>
  <c r="AQ32" i="12" l="1"/>
  <c r="AQ33" i="9"/>
  <c r="BO33" i="12"/>
  <c r="X34" i="7"/>
  <c r="Y37" i="4"/>
  <c r="I35" i="7"/>
  <c r="AR38" i="4"/>
  <c r="H39" i="4" s="1"/>
  <c r="W34" i="7"/>
  <c r="AA34" i="9"/>
  <c r="AB34" i="9" s="1"/>
  <c r="AC34" i="9" s="1"/>
  <c r="AD34" i="9"/>
  <c r="AM34" i="9"/>
  <c r="AJ34" i="9"/>
  <c r="AN34" i="9"/>
  <c r="AK34" i="9"/>
  <c r="I34" i="12"/>
  <c r="J34" i="12" s="1"/>
  <c r="K34" i="12" s="1"/>
  <c r="L34" i="12" s="1"/>
  <c r="S34" i="12"/>
  <c r="AO38" i="4"/>
  <c r="E39" i="4" s="1"/>
  <c r="AH34" i="9"/>
  <c r="AL38" i="4"/>
  <c r="B39" i="4" s="1"/>
  <c r="I38" i="4"/>
  <c r="S38" i="4" s="1"/>
  <c r="AN38" i="4"/>
  <c r="D39" i="4" s="1"/>
  <c r="Z33" i="10"/>
  <c r="BD33" i="10"/>
  <c r="B34" i="10" s="1"/>
  <c r="S35" i="9"/>
  <c r="I35" i="9"/>
  <c r="J35" i="9" s="1"/>
  <c r="BV33" i="12"/>
  <c r="BB33" i="12"/>
  <c r="BA33" i="12"/>
  <c r="BP33" i="12"/>
  <c r="BS33" i="12"/>
  <c r="AA33" i="12"/>
  <c r="AB33" i="12" s="1"/>
  <c r="AC33" i="12" s="1"/>
  <c r="AD33" i="12"/>
  <c r="AK33" i="12"/>
  <c r="AJ33" i="12"/>
  <c r="BU33" i="12"/>
  <c r="AM33" i="12"/>
  <c r="AN33" i="12"/>
  <c r="AO32" i="10"/>
  <c r="AP32" i="10"/>
  <c r="AQ38" i="4"/>
  <c r="G39" i="4" s="1"/>
  <c r="AT37" i="4"/>
  <c r="AB38" i="4" l="1"/>
  <c r="U38" i="4"/>
  <c r="AH38" i="4"/>
  <c r="P38" i="4"/>
  <c r="AG38" i="4"/>
  <c r="R38" i="4"/>
  <c r="Y34" i="7"/>
  <c r="AQ32" i="10"/>
  <c r="AP33" i="12"/>
  <c r="Z35" i="9"/>
  <c r="AH35" i="9" s="1"/>
  <c r="B36" i="9"/>
  <c r="BK33" i="10"/>
  <c r="BL33" i="10"/>
  <c r="AA33" i="10"/>
  <c r="AB33" i="10" s="1"/>
  <c r="AC33" i="10" s="1"/>
  <c r="BA33" i="10"/>
  <c r="AD33" i="10"/>
  <c r="AZ33" i="10"/>
  <c r="AM33" i="10"/>
  <c r="AK33" i="10"/>
  <c r="AJ33" i="10"/>
  <c r="AY33" i="10"/>
  <c r="AW33" i="10"/>
  <c r="AN33" i="10"/>
  <c r="AV33" i="10"/>
  <c r="AP34" i="9"/>
  <c r="AO34" i="9"/>
  <c r="Z34" i="12"/>
  <c r="BO34" i="12" s="1"/>
  <c r="AT34" i="12"/>
  <c r="B35" i="12" s="1"/>
  <c r="AH35" i="7"/>
  <c r="D11" i="13"/>
  <c r="J35" i="7"/>
  <c r="R35" i="7"/>
  <c r="S35" i="7"/>
  <c r="U35" i="7"/>
  <c r="V35" i="7"/>
  <c r="AT33" i="10"/>
  <c r="AN39" i="4"/>
  <c r="D40" i="4" s="1"/>
  <c r="B14" i="13"/>
  <c r="AI38" i="4"/>
  <c r="J38" i="4"/>
  <c r="K38" i="4" s="1"/>
  <c r="L38" i="4" s="1"/>
  <c r="AS38" i="4"/>
  <c r="AT38" i="4" s="1"/>
  <c r="AE38" i="4"/>
  <c r="V38" i="4"/>
  <c r="P35" i="7"/>
  <c r="AH33" i="10"/>
  <c r="AO33" i="12"/>
  <c r="AQ39" i="4"/>
  <c r="G40" i="4" s="1"/>
  <c r="K35" i="9"/>
  <c r="I48" i="9"/>
  <c r="C23" i="8" s="1"/>
  <c r="S34" i="10"/>
  <c r="I34" i="10"/>
  <c r="J34" i="10" s="1"/>
  <c r="K34" i="10" s="1"/>
  <c r="L34" i="10" s="1"/>
  <c r="AD38" i="4"/>
  <c r="AL39" i="4"/>
  <c r="B40" i="4" s="1"/>
  <c r="I39" i="4"/>
  <c r="AB39" i="4" s="1"/>
  <c r="AO39" i="4"/>
  <c r="E40" i="4" s="1"/>
  <c r="AR39" i="4"/>
  <c r="H40" i="4" s="1"/>
  <c r="X38" i="4" l="1"/>
  <c r="AQ33" i="12"/>
  <c r="I40" i="4"/>
  <c r="AH40" i="4" s="1"/>
  <c r="S39" i="4"/>
  <c r="AH34" i="12"/>
  <c r="W38" i="4"/>
  <c r="AE39" i="4"/>
  <c r="AD39" i="4"/>
  <c r="AH39" i="4"/>
  <c r="AQ34" i="9"/>
  <c r="I49" i="9"/>
  <c r="C24" i="8" s="1"/>
  <c r="L35" i="9"/>
  <c r="AS39" i="4"/>
  <c r="AT39" i="4" s="1"/>
  <c r="B15" i="13"/>
  <c r="AI39" i="4"/>
  <c r="J39" i="4"/>
  <c r="K39" i="4" s="1"/>
  <c r="L39" i="4" s="1"/>
  <c r="AG39" i="4"/>
  <c r="AO33" i="10"/>
  <c r="AP33" i="10"/>
  <c r="R39" i="4"/>
  <c r="K35" i="7"/>
  <c r="I48" i="7"/>
  <c r="D10" i="8" s="1"/>
  <c r="I35" i="12"/>
  <c r="J35" i="12" s="1"/>
  <c r="K35" i="12" s="1"/>
  <c r="L35" i="12" s="1"/>
  <c r="S35" i="12"/>
  <c r="Z34" i="10"/>
  <c r="AH34" i="10" s="1"/>
  <c r="X35" i="7"/>
  <c r="W35" i="7"/>
  <c r="S36" i="9"/>
  <c r="I36" i="9"/>
  <c r="J36" i="9" s="1"/>
  <c r="K36" i="9" s="1"/>
  <c r="L36" i="9" s="1"/>
  <c r="V39" i="4"/>
  <c r="P39" i="4"/>
  <c r="U39" i="4"/>
  <c r="H36" i="7"/>
  <c r="AI35" i="7"/>
  <c r="AJ35" i="7" s="1"/>
  <c r="BS34" i="12"/>
  <c r="BV34" i="12"/>
  <c r="AD34" i="12"/>
  <c r="BA34" i="12"/>
  <c r="BP34" i="12"/>
  <c r="AA34" i="12"/>
  <c r="AB34" i="12" s="1"/>
  <c r="AC34" i="12" s="1"/>
  <c r="BB34" i="12"/>
  <c r="AK34" i="12"/>
  <c r="AM34" i="12"/>
  <c r="BU34" i="12"/>
  <c r="AN34" i="12"/>
  <c r="AJ34" i="12"/>
  <c r="AD35" i="9"/>
  <c r="AA35" i="9"/>
  <c r="AB35" i="9" s="1"/>
  <c r="AC35" i="9" s="1"/>
  <c r="AM35" i="9"/>
  <c r="AK35" i="9"/>
  <c r="AN35" i="9"/>
  <c r="AJ35" i="9"/>
  <c r="R40" i="4" l="1"/>
  <c r="AD40" i="4"/>
  <c r="U40" i="4"/>
  <c r="V40" i="4"/>
  <c r="Y38" i="4"/>
  <c r="J40" i="4"/>
  <c r="K40" i="4" s="1"/>
  <c r="L40" i="4" s="1"/>
  <c r="B16" i="13"/>
  <c r="AS40" i="4"/>
  <c r="AI40" i="4"/>
  <c r="AG40" i="4"/>
  <c r="P40" i="4"/>
  <c r="S40" i="4"/>
  <c r="AB40" i="4"/>
  <c r="AE40" i="4"/>
  <c r="AQ33" i="10"/>
  <c r="AO34" i="12"/>
  <c r="AP35" i="9"/>
  <c r="Y35" i="7"/>
  <c r="AO35" i="9"/>
  <c r="AP34" i="12"/>
  <c r="W39" i="4"/>
  <c r="X39" i="4"/>
  <c r="G10" i="8"/>
  <c r="F10" i="8"/>
  <c r="L35" i="7"/>
  <c r="I49" i="7"/>
  <c r="D11" i="8" s="1"/>
  <c r="I36" i="7"/>
  <c r="Z36" i="9"/>
  <c r="AH36" i="9" s="1"/>
  <c r="B37" i="9"/>
  <c r="AD34" i="10"/>
  <c r="BK34" i="10"/>
  <c r="AA34" i="10"/>
  <c r="AB34" i="10" s="1"/>
  <c r="AC34" i="10" s="1"/>
  <c r="BA34" i="10"/>
  <c r="BD34" i="10"/>
  <c r="B35" i="10" s="1"/>
  <c r="BG34" i="10"/>
  <c r="E35" i="10" s="1"/>
  <c r="V35" i="10" s="1"/>
  <c r="BJ34" i="10"/>
  <c r="H35" i="10" s="1"/>
  <c r="Y35" i="10" s="1"/>
  <c r="BF34" i="10"/>
  <c r="D35" i="10" s="1"/>
  <c r="U35" i="10" s="1"/>
  <c r="BI34" i="10"/>
  <c r="G35" i="10" s="1"/>
  <c r="X35" i="10" s="1"/>
  <c r="AN34" i="10"/>
  <c r="AZ34" i="10"/>
  <c r="AV34" i="10"/>
  <c r="AK34" i="10"/>
  <c r="AY34" i="10"/>
  <c r="AJ34" i="10"/>
  <c r="AW34" i="10"/>
  <c r="AM34" i="10"/>
  <c r="Z35" i="12"/>
  <c r="AH35" i="12" s="1"/>
  <c r="AT34" i="10"/>
  <c r="AQ35" i="9" l="1"/>
  <c r="W40" i="4"/>
  <c r="X40" i="4"/>
  <c r="AO40" i="4"/>
  <c r="E41" i="4" s="1"/>
  <c r="AN40" i="4"/>
  <c r="AQ40" i="4"/>
  <c r="G41" i="4" s="1"/>
  <c r="AL40" i="4"/>
  <c r="B41" i="4" s="1"/>
  <c r="AR40" i="4"/>
  <c r="H41" i="4" s="1"/>
  <c r="AQ34" i="12"/>
  <c r="AP34" i="10"/>
  <c r="AO34" i="10"/>
  <c r="I35" i="10"/>
  <c r="J35" i="10" s="1"/>
  <c r="K35" i="10" s="1"/>
  <c r="L35" i="10" s="1"/>
  <c r="S35" i="10"/>
  <c r="BL34" i="10"/>
  <c r="D12" i="13"/>
  <c r="AD36" i="7"/>
  <c r="D37" i="7" s="1"/>
  <c r="AE36" i="7"/>
  <c r="E37" i="7" s="1"/>
  <c r="AG36" i="7"/>
  <c r="G37" i="7" s="1"/>
  <c r="J36" i="7"/>
  <c r="K36" i="7" s="1"/>
  <c r="L36" i="7" s="1"/>
  <c r="AH36" i="7"/>
  <c r="H37" i="7" s="1"/>
  <c r="AB36" i="7"/>
  <c r="P36" i="7"/>
  <c r="S36" i="7"/>
  <c r="U36" i="7"/>
  <c r="R36" i="7"/>
  <c r="BV35" i="12"/>
  <c r="AZ35" i="12"/>
  <c r="H36" i="12" s="1"/>
  <c r="BS35" i="12"/>
  <c r="BA35" i="12"/>
  <c r="AA35" i="12"/>
  <c r="AD35" i="12"/>
  <c r="BP35" i="12"/>
  <c r="AN35" i="12"/>
  <c r="AJ35" i="12"/>
  <c r="AM35" i="12"/>
  <c r="BU35" i="12"/>
  <c r="AK35" i="12"/>
  <c r="I37" i="9"/>
  <c r="J37" i="9" s="1"/>
  <c r="K37" i="9" s="1"/>
  <c r="L37" i="9" s="1"/>
  <c r="S37" i="9"/>
  <c r="V36" i="7"/>
  <c r="Y39" i="4"/>
  <c r="BO35" i="12"/>
  <c r="AA36" i="9"/>
  <c r="AB36" i="9" s="1"/>
  <c r="AC36" i="9" s="1"/>
  <c r="AD36" i="9"/>
  <c r="AM36" i="9"/>
  <c r="AJ36" i="9"/>
  <c r="AK36" i="9"/>
  <c r="AN36" i="9"/>
  <c r="G11" i="8"/>
  <c r="F11" i="8"/>
  <c r="AR41" i="4" l="1"/>
  <c r="AL41" i="4"/>
  <c r="AQ41" i="4"/>
  <c r="AT40" i="4"/>
  <c r="D41" i="4"/>
  <c r="I41" i="4" s="1"/>
  <c r="B17" i="13" s="1"/>
  <c r="AO41" i="4"/>
  <c r="Y40" i="4"/>
  <c r="AQ34" i="10"/>
  <c r="AP36" i="9"/>
  <c r="AP35" i="12"/>
  <c r="X36" i="7"/>
  <c r="W36" i="7"/>
  <c r="AG37" i="7"/>
  <c r="G38" i="7" s="1"/>
  <c r="AO36" i="9"/>
  <c r="Y36" i="12"/>
  <c r="I36" i="12"/>
  <c r="J36" i="12" s="1"/>
  <c r="K36" i="12" s="1"/>
  <c r="L36" i="12" s="1"/>
  <c r="AI36" i="7"/>
  <c r="AJ36" i="7" s="1"/>
  <c r="B37" i="7"/>
  <c r="AE37" i="7"/>
  <c r="E38" i="7" s="1"/>
  <c r="Z37" i="9"/>
  <c r="AH37" i="9" s="1"/>
  <c r="B38" i="9"/>
  <c r="I48" i="12"/>
  <c r="D23" i="8" s="1"/>
  <c r="G23" i="8" s="1"/>
  <c r="AB35" i="12"/>
  <c r="AH37" i="7"/>
  <c r="H38" i="7" s="1"/>
  <c r="AD37" i="7"/>
  <c r="D38" i="7" s="1"/>
  <c r="AO35" i="12"/>
  <c r="BB35" i="12"/>
  <c r="Z35" i="10"/>
  <c r="AH35" i="10" s="1"/>
  <c r="AL42" i="4" l="1"/>
  <c r="B43" i="4" s="1"/>
  <c r="AO42" i="4"/>
  <c r="E43" i="4" s="1"/>
  <c r="AQ42" i="4"/>
  <c r="G43" i="4" s="1"/>
  <c r="AR42" i="4"/>
  <c r="H43" i="4" s="1"/>
  <c r="U41" i="4"/>
  <c r="AE41" i="4"/>
  <c r="AB41" i="4"/>
  <c r="AG41" i="4"/>
  <c r="P41" i="4"/>
  <c r="S41" i="4"/>
  <c r="V41" i="4"/>
  <c r="R41" i="4"/>
  <c r="AI41" i="4"/>
  <c r="AS41" i="4"/>
  <c r="J41" i="4"/>
  <c r="K41" i="4" s="1"/>
  <c r="L41" i="4" s="1"/>
  <c r="AN41" i="4"/>
  <c r="AD41" i="4"/>
  <c r="AQ36" i="9"/>
  <c r="AH41" i="4"/>
  <c r="Y36" i="7"/>
  <c r="AQ35" i="12"/>
  <c r="AH38" i="7"/>
  <c r="H39" i="7" s="1"/>
  <c r="S38" i="9"/>
  <c r="I38" i="9"/>
  <c r="J38" i="9" s="1"/>
  <c r="K38" i="9" s="1"/>
  <c r="L38" i="9" s="1"/>
  <c r="AE38" i="7"/>
  <c r="E39" i="7" s="1"/>
  <c r="AG38" i="7"/>
  <c r="G39" i="7" s="1"/>
  <c r="AA35" i="10"/>
  <c r="BK35" i="10"/>
  <c r="BA35" i="10"/>
  <c r="AD35" i="10"/>
  <c r="BI35" i="10"/>
  <c r="G36" i="10" s="1"/>
  <c r="X36" i="10" s="1"/>
  <c r="BF35" i="10"/>
  <c r="D36" i="10" s="1"/>
  <c r="U36" i="10" s="1"/>
  <c r="BJ35" i="10"/>
  <c r="H36" i="10" s="1"/>
  <c r="Y36" i="10" s="1"/>
  <c r="BD35" i="10"/>
  <c r="B36" i="10" s="1"/>
  <c r="BG35" i="10"/>
  <c r="E36" i="10" s="1"/>
  <c r="V36" i="10" s="1"/>
  <c r="AM35" i="10"/>
  <c r="AY35" i="10"/>
  <c r="AV35" i="10"/>
  <c r="AZ35" i="10"/>
  <c r="AK35" i="10"/>
  <c r="AJ35" i="10"/>
  <c r="AN35" i="10"/>
  <c r="AW35" i="10"/>
  <c r="AD38" i="7"/>
  <c r="D39" i="7" s="1"/>
  <c r="I49" i="12"/>
  <c r="D24" i="8" s="1"/>
  <c r="G24" i="8" s="1"/>
  <c r="AC35" i="12"/>
  <c r="AA37" i="9"/>
  <c r="AB37" i="9" s="1"/>
  <c r="AC37" i="9" s="1"/>
  <c r="AD37" i="9"/>
  <c r="AM37" i="9"/>
  <c r="AK37" i="9"/>
  <c r="AN37" i="9"/>
  <c r="AJ37" i="9"/>
  <c r="Z36" i="12"/>
  <c r="AN36" i="12" s="1"/>
  <c r="AT35" i="10"/>
  <c r="I37" i="7"/>
  <c r="P37" i="7" s="1"/>
  <c r="AB37" i="7"/>
  <c r="I43" i="4" l="1"/>
  <c r="J43" i="4" s="1"/>
  <c r="K43" i="4" s="1"/>
  <c r="L43" i="4" s="1"/>
  <c r="AQ43" i="4"/>
  <c r="G44" i="4" s="1"/>
  <c r="AO43" i="4"/>
  <c r="E44" i="4" s="1"/>
  <c r="AN42" i="4"/>
  <c r="D43" i="4" s="1"/>
  <c r="AD42" i="4"/>
  <c r="AR43" i="4"/>
  <c r="H44" i="4" s="1"/>
  <c r="X41" i="4"/>
  <c r="W41" i="4"/>
  <c r="AT41" i="4"/>
  <c r="AP35" i="10"/>
  <c r="BU36" i="12"/>
  <c r="AP37" i="9"/>
  <c r="BG36" i="10"/>
  <c r="E37" i="10" s="1"/>
  <c r="V37" i="10" s="1"/>
  <c r="BI36" i="10"/>
  <c r="G37" i="10" s="1"/>
  <c r="X37" i="10" s="1"/>
  <c r="I36" i="10"/>
  <c r="J36" i="10" s="1"/>
  <c r="K36" i="10" s="1"/>
  <c r="L36" i="10" s="1"/>
  <c r="S36" i="10"/>
  <c r="BL35" i="10"/>
  <c r="I48" i="10"/>
  <c r="B23" i="8" s="1"/>
  <c r="AB35" i="10"/>
  <c r="AE39" i="7"/>
  <c r="E40" i="7" s="1"/>
  <c r="AH39" i="7"/>
  <c r="H40" i="7" s="1"/>
  <c r="AI37" i="7"/>
  <c r="AJ37" i="7" s="1"/>
  <c r="B38" i="7"/>
  <c r="BJ36" i="10"/>
  <c r="H37" i="10" s="1"/>
  <c r="Y37" i="10" s="1"/>
  <c r="AO37" i="9"/>
  <c r="AO35" i="10"/>
  <c r="AQ35" i="10" s="1"/>
  <c r="D13" i="13"/>
  <c r="J37" i="7"/>
  <c r="K37" i="7" s="1"/>
  <c r="L37" i="7" s="1"/>
  <c r="R37" i="7"/>
  <c r="S37" i="7"/>
  <c r="V37" i="7"/>
  <c r="U37" i="7"/>
  <c r="BT36" i="12"/>
  <c r="BO36" i="12"/>
  <c r="AW36" i="12"/>
  <c r="E37" i="12" s="1"/>
  <c r="V37" i="12" s="1"/>
  <c r="AH36" i="12"/>
  <c r="BV36" i="12"/>
  <c r="AT36" i="12"/>
  <c r="B37" i="12" s="1"/>
  <c r="AK36" i="12"/>
  <c r="AD36" i="12"/>
  <c r="AA36" i="12"/>
  <c r="AB36" i="12" s="1"/>
  <c r="AC36" i="12" s="1"/>
  <c r="AZ36" i="12"/>
  <c r="H37" i="12" s="1"/>
  <c r="Y37" i="12" s="1"/>
  <c r="BP36" i="12"/>
  <c r="AV36" i="12"/>
  <c r="D37" i="12" s="1"/>
  <c r="U37" i="12" s="1"/>
  <c r="BA36" i="12"/>
  <c r="AM36" i="12"/>
  <c r="AJ36" i="12"/>
  <c r="AY36" i="12"/>
  <c r="G37" i="12" s="1"/>
  <c r="X37" i="12" s="1"/>
  <c r="AD39" i="7"/>
  <c r="D40" i="7" s="1"/>
  <c r="BF36" i="10"/>
  <c r="D37" i="10" s="1"/>
  <c r="U37" i="10" s="1"/>
  <c r="AG39" i="7"/>
  <c r="G40" i="7" s="1"/>
  <c r="B39" i="9"/>
  <c r="Z38" i="9"/>
  <c r="AH38" i="9" s="1"/>
  <c r="AN43" i="4" l="1"/>
  <c r="D44" i="4" s="1"/>
  <c r="AS42" i="4"/>
  <c r="AT42" i="4" s="1"/>
  <c r="AI42" i="4"/>
  <c r="U42" i="4"/>
  <c r="V42" i="4"/>
  <c r="AG42" i="4"/>
  <c r="P42" i="4"/>
  <c r="AH42" i="4"/>
  <c r="AB42" i="4"/>
  <c r="S42" i="4"/>
  <c r="AE42" i="4"/>
  <c r="AL43" i="4"/>
  <c r="B44" i="4" s="1"/>
  <c r="R42" i="4"/>
  <c r="Y41" i="4"/>
  <c r="AH40" i="7"/>
  <c r="AG40" i="7"/>
  <c r="AD40" i="7"/>
  <c r="AQ37" i="9"/>
  <c r="AE40" i="7"/>
  <c r="X37" i="7"/>
  <c r="BB36" i="12"/>
  <c r="W37" i="7"/>
  <c r="S37" i="12"/>
  <c r="I37" i="12"/>
  <c r="J37" i="12" s="1"/>
  <c r="K37" i="12" s="1"/>
  <c r="L37" i="12" s="1"/>
  <c r="F23" i="8"/>
  <c r="H23" i="8"/>
  <c r="S39" i="9"/>
  <c r="B40" i="9" s="1"/>
  <c r="I39" i="9"/>
  <c r="J39" i="9" s="1"/>
  <c r="K39" i="9" s="1"/>
  <c r="L39" i="9" s="1"/>
  <c r="AY37" i="12"/>
  <c r="G38" i="12" s="1"/>
  <c r="X38" i="12" s="1"/>
  <c r="AV37" i="12"/>
  <c r="D38" i="12" s="1"/>
  <c r="U38" i="12" s="1"/>
  <c r="I38" i="7"/>
  <c r="P38" i="7" s="1"/>
  <c r="AB38" i="7"/>
  <c r="AO36" i="12"/>
  <c r="AP36" i="12"/>
  <c r="Z36" i="10"/>
  <c r="AT36" i="10" s="1"/>
  <c r="BD36" i="10"/>
  <c r="B37" i="10" s="1"/>
  <c r="AD38" i="9"/>
  <c r="AA38" i="9"/>
  <c r="AB38" i="9" s="1"/>
  <c r="AC38" i="9" s="1"/>
  <c r="AK38" i="9"/>
  <c r="AN38" i="9"/>
  <c r="AM38" i="9"/>
  <c r="AJ38" i="9"/>
  <c r="AZ37" i="12"/>
  <c r="H38" i="12" s="1"/>
  <c r="Y38" i="12" s="1"/>
  <c r="AW37" i="12"/>
  <c r="E38" i="12" s="1"/>
  <c r="V38" i="12" s="1"/>
  <c r="AC35" i="10"/>
  <c r="I49" i="10"/>
  <c r="B24" i="8" s="1"/>
  <c r="AI43" i="4" l="1"/>
  <c r="AS43" i="4"/>
  <c r="AT43" i="4" s="1"/>
  <c r="I52" i="4"/>
  <c r="AG43" i="4"/>
  <c r="V43" i="4"/>
  <c r="AE43" i="4"/>
  <c r="U43" i="4"/>
  <c r="S43" i="4"/>
  <c r="AH43" i="4"/>
  <c r="I44" i="4"/>
  <c r="I45" i="4" s="1"/>
  <c r="AB43" i="4"/>
  <c r="X42" i="4"/>
  <c r="W42" i="4"/>
  <c r="Y42" i="4" s="1"/>
  <c r="AD43" i="4"/>
  <c r="R43" i="4"/>
  <c r="P43" i="4"/>
  <c r="I46" i="4"/>
  <c r="B8" i="8" s="1"/>
  <c r="H8" i="8" s="1"/>
  <c r="B13" i="8"/>
  <c r="Y37" i="7"/>
  <c r="I40" i="9"/>
  <c r="J40" i="9" s="1"/>
  <c r="K40" i="9" s="1"/>
  <c r="L40" i="9" s="1"/>
  <c r="S40" i="9"/>
  <c r="AO38" i="9"/>
  <c r="AP38" i="9"/>
  <c r="AQ36" i="12"/>
  <c r="AZ38" i="12"/>
  <c r="H39" i="12" s="1"/>
  <c r="Y39" i="12" s="1"/>
  <c r="F24" i="8"/>
  <c r="H24" i="8"/>
  <c r="I37" i="10"/>
  <c r="J37" i="10" s="1"/>
  <c r="K37" i="10" s="1"/>
  <c r="L37" i="10" s="1"/>
  <c r="S37" i="10"/>
  <c r="AI38" i="7"/>
  <c r="AJ38" i="7" s="1"/>
  <c r="B39" i="7"/>
  <c r="AV38" i="12"/>
  <c r="D39" i="12" s="1"/>
  <c r="U39" i="12" s="1"/>
  <c r="BA36" i="10"/>
  <c r="AA36" i="10"/>
  <c r="AB36" i="10" s="1"/>
  <c r="AC36" i="10" s="1"/>
  <c r="BL36" i="10"/>
  <c r="BK36" i="10"/>
  <c r="AD36" i="10"/>
  <c r="AK36" i="10"/>
  <c r="AM36" i="10"/>
  <c r="AZ36" i="10"/>
  <c r="AW36" i="10"/>
  <c r="AY36" i="10"/>
  <c r="AJ36" i="10"/>
  <c r="AV36" i="10"/>
  <c r="AN36" i="10"/>
  <c r="Z39" i="9"/>
  <c r="AT37" i="12"/>
  <c r="B38" i="12" s="1"/>
  <c r="Z37" i="12"/>
  <c r="AW38" i="12"/>
  <c r="E39" i="12" s="1"/>
  <c r="V39" i="12" s="1"/>
  <c r="AH36" i="10"/>
  <c r="J38" i="7"/>
  <c r="K38" i="7" s="1"/>
  <c r="L38" i="7" s="1"/>
  <c r="D14" i="13"/>
  <c r="U38" i="7"/>
  <c r="R38" i="7"/>
  <c r="V38" i="7"/>
  <c r="S38" i="7"/>
  <c r="AY38" i="12"/>
  <c r="G39" i="12" s="1"/>
  <c r="X39" i="12" s="1"/>
  <c r="B6" i="8" l="1"/>
  <c r="H6" i="8" s="1"/>
  <c r="X43" i="4"/>
  <c r="W43" i="4"/>
  <c r="Y43" i="4" s="1"/>
  <c r="B12" i="8"/>
  <c r="B14" i="8" s="1"/>
  <c r="I47" i="4"/>
  <c r="B9" i="8" s="1"/>
  <c r="H9" i="8" s="1"/>
  <c r="B7" i="8"/>
  <c r="H7" i="8" s="1"/>
  <c r="I50" i="4"/>
  <c r="I51" i="4"/>
  <c r="B41" i="9"/>
  <c r="Z40" i="9"/>
  <c r="AH40" i="9" s="1"/>
  <c r="W38" i="7"/>
  <c r="AQ38" i="9"/>
  <c r="AY39" i="12"/>
  <c r="BV37" i="12"/>
  <c r="BP37" i="12"/>
  <c r="BB37" i="12"/>
  <c r="BA37" i="12"/>
  <c r="AA37" i="12"/>
  <c r="AB37" i="12" s="1"/>
  <c r="AC37" i="12" s="1"/>
  <c r="AD37" i="12"/>
  <c r="AK37" i="12"/>
  <c r="BU37" i="12"/>
  <c r="BT37" i="12"/>
  <c r="AJ37" i="12"/>
  <c r="AN37" i="12"/>
  <c r="AM37" i="12"/>
  <c r="AA39" i="9"/>
  <c r="AB39" i="9" s="1"/>
  <c r="AC39" i="9" s="1"/>
  <c r="AD39" i="9"/>
  <c r="AN39" i="9"/>
  <c r="AK39" i="9"/>
  <c r="AJ39" i="9"/>
  <c r="AM39" i="9"/>
  <c r="AW39" i="12"/>
  <c r="S38" i="12"/>
  <c r="I38" i="12"/>
  <c r="J38" i="12" s="1"/>
  <c r="K38" i="12" s="1"/>
  <c r="L38" i="12" s="1"/>
  <c r="AH39" i="9"/>
  <c r="X38" i="7"/>
  <c r="BO37" i="12"/>
  <c r="I39" i="7"/>
  <c r="P39" i="7" s="1"/>
  <c r="AB39" i="7"/>
  <c r="B40" i="7" s="1"/>
  <c r="AO36" i="10"/>
  <c r="AP36" i="10"/>
  <c r="AV39" i="12"/>
  <c r="AZ39" i="12"/>
  <c r="AH37" i="12"/>
  <c r="Z37" i="10"/>
  <c r="AH37" i="10" s="1"/>
  <c r="Y38" i="7" l="1"/>
  <c r="AD40" i="9"/>
  <c r="AA40" i="9"/>
  <c r="AB40" i="9" s="1"/>
  <c r="AC40" i="9" s="1"/>
  <c r="AK40" i="9"/>
  <c r="AN40" i="9"/>
  <c r="AM40" i="9"/>
  <c r="AJ40" i="9"/>
  <c r="AB40" i="7"/>
  <c r="AI40" i="7" s="1"/>
  <c r="I40" i="7"/>
  <c r="P40" i="7" s="1"/>
  <c r="S41" i="9"/>
  <c r="I41" i="9"/>
  <c r="J41" i="9" s="1"/>
  <c r="K41" i="9" s="1"/>
  <c r="L41" i="9" s="1"/>
  <c r="D40" i="12"/>
  <c r="U40" i="12" s="1"/>
  <c r="G40" i="12"/>
  <c r="X40" i="12" s="1"/>
  <c r="E40" i="12"/>
  <c r="V40" i="12" s="1"/>
  <c r="H40" i="12"/>
  <c r="Y40" i="12" s="1"/>
  <c r="AT37" i="10"/>
  <c r="AQ36" i="10"/>
  <c r="AO37" i="12"/>
  <c r="AP37" i="12"/>
  <c r="AI39" i="7"/>
  <c r="AJ39" i="7" s="1"/>
  <c r="AP39" i="9"/>
  <c r="AO39" i="9"/>
  <c r="AA37" i="10"/>
  <c r="AB37" i="10" s="1"/>
  <c r="AC37" i="10" s="1"/>
  <c r="BK37" i="10"/>
  <c r="BA37" i="10"/>
  <c r="AD37" i="10"/>
  <c r="BF37" i="10"/>
  <c r="D38" i="10" s="1"/>
  <c r="U38" i="10" s="1"/>
  <c r="BG37" i="10"/>
  <c r="E38" i="10" s="1"/>
  <c r="V38" i="10" s="1"/>
  <c r="BI37" i="10"/>
  <c r="G38" i="10" s="1"/>
  <c r="X38" i="10" s="1"/>
  <c r="BJ37" i="10"/>
  <c r="H38" i="10" s="1"/>
  <c r="Y38" i="10" s="1"/>
  <c r="BD37" i="10"/>
  <c r="B38" i="10" s="1"/>
  <c r="AV37" i="10"/>
  <c r="AM37" i="10"/>
  <c r="AK37" i="10"/>
  <c r="AZ37" i="10"/>
  <c r="AJ37" i="10"/>
  <c r="AY37" i="10"/>
  <c r="AW37" i="10"/>
  <c r="AN37" i="10"/>
  <c r="D15" i="13"/>
  <c r="J39" i="7"/>
  <c r="K39" i="7" s="1"/>
  <c r="L39" i="7" s="1"/>
  <c r="V39" i="7"/>
  <c r="U39" i="7"/>
  <c r="S39" i="7"/>
  <c r="R39" i="7"/>
  <c r="Z38" i="12"/>
  <c r="AH38" i="12" s="1"/>
  <c r="AT38" i="12"/>
  <c r="B39" i="12" s="1"/>
  <c r="AO40" i="9" l="1"/>
  <c r="AJ40" i="7"/>
  <c r="AV40" i="12"/>
  <c r="Z41" i="9"/>
  <c r="AH41" i="9" s="1"/>
  <c r="AW40" i="12"/>
  <c r="E41" i="12" s="1"/>
  <c r="V41" i="12" s="1"/>
  <c r="AY40" i="12"/>
  <c r="G41" i="12" s="1"/>
  <c r="X41" i="12" s="1"/>
  <c r="AP40" i="9"/>
  <c r="AZ40" i="12"/>
  <c r="H41" i="12" s="1"/>
  <c r="Y41" i="12" s="1"/>
  <c r="J40" i="7"/>
  <c r="K40" i="7" s="1"/>
  <c r="L40" i="7" s="1"/>
  <c r="D16" i="13"/>
  <c r="U40" i="7"/>
  <c r="S40" i="7"/>
  <c r="R40" i="7"/>
  <c r="V40" i="7"/>
  <c r="W39" i="7"/>
  <c r="AQ39" i="9"/>
  <c r="AP37" i="10"/>
  <c r="BO38" i="12"/>
  <c r="S39" i="12"/>
  <c r="I39" i="12"/>
  <c r="J39" i="12" s="1"/>
  <c r="K39" i="12" s="1"/>
  <c r="L39" i="12" s="1"/>
  <c r="BI38" i="10"/>
  <c r="G39" i="10" s="1"/>
  <c r="X39" i="10" s="1"/>
  <c r="I38" i="10"/>
  <c r="J38" i="10" s="1"/>
  <c r="K38" i="10" s="1"/>
  <c r="L38" i="10" s="1"/>
  <c r="S38" i="10"/>
  <c r="BF38" i="10"/>
  <c r="D39" i="10" s="1"/>
  <c r="U39" i="10" s="1"/>
  <c r="AO37" i="10"/>
  <c r="AQ37" i="10" s="1"/>
  <c r="BJ38" i="10"/>
  <c r="H39" i="10" s="1"/>
  <c r="Y39" i="10" s="1"/>
  <c r="X39" i="7"/>
  <c r="BV38" i="12"/>
  <c r="AA38" i="12"/>
  <c r="AB38" i="12" s="1"/>
  <c r="AC38" i="12" s="1"/>
  <c r="AD38" i="12"/>
  <c r="BB38" i="12"/>
  <c r="BA38" i="12"/>
  <c r="AN38" i="12"/>
  <c r="AJ38" i="12"/>
  <c r="AK38" i="12"/>
  <c r="BT38" i="12"/>
  <c r="BU38" i="12"/>
  <c r="BR38" i="12"/>
  <c r="AM38" i="12"/>
  <c r="BQ38" i="12"/>
  <c r="BG38" i="10"/>
  <c r="E39" i="10" s="1"/>
  <c r="V39" i="10" s="1"/>
  <c r="BL37" i="10"/>
  <c r="AQ37" i="12"/>
  <c r="AQ40" i="9" l="1"/>
  <c r="X40" i="7"/>
  <c r="BG39" i="10"/>
  <c r="AY41" i="12"/>
  <c r="BJ39" i="10"/>
  <c r="AW41" i="12"/>
  <c r="BF39" i="10"/>
  <c r="AZ41" i="12"/>
  <c r="AM41" i="9"/>
  <c r="AD41" i="9"/>
  <c r="AA41" i="9"/>
  <c r="AB41" i="9" s="1"/>
  <c r="AC41" i="9" s="1"/>
  <c r="AJ41" i="9"/>
  <c r="AN41" i="9"/>
  <c r="AK41" i="9"/>
  <c r="Y39" i="7"/>
  <c r="BI39" i="10"/>
  <c r="D41" i="12"/>
  <c r="U41" i="12" s="1"/>
  <c r="W40" i="7"/>
  <c r="Y40" i="7" s="1"/>
  <c r="AP38" i="12"/>
  <c r="AT39" i="12"/>
  <c r="B40" i="12" s="1"/>
  <c r="Z39" i="12"/>
  <c r="BO39" i="12" s="1"/>
  <c r="AO38" i="12"/>
  <c r="Z38" i="10"/>
  <c r="BD38" i="10"/>
  <c r="B39" i="10" s="1"/>
  <c r="AQ38" i="12" l="1"/>
  <c r="X44" i="12"/>
  <c r="G44" i="12"/>
  <c r="B44" i="9"/>
  <c r="I44" i="9" s="1"/>
  <c r="S44" i="9"/>
  <c r="Z44" i="9" s="1"/>
  <c r="I45" i="9" s="1"/>
  <c r="I47" i="9" s="1"/>
  <c r="V44" i="12"/>
  <c r="E44" i="12"/>
  <c r="Y44" i="12"/>
  <c r="H44" i="12"/>
  <c r="AP41" i="9"/>
  <c r="I39" i="10"/>
  <c r="J39" i="10" s="1"/>
  <c r="K39" i="10" s="1"/>
  <c r="L39" i="10" s="1"/>
  <c r="S39" i="10"/>
  <c r="AV41" i="12"/>
  <c r="I40" i="12"/>
  <c r="J40" i="12" s="1"/>
  <c r="K40" i="12" s="1"/>
  <c r="L40" i="12" s="1"/>
  <c r="S40" i="12"/>
  <c r="AO41" i="9"/>
  <c r="D40" i="10"/>
  <c r="U40" i="10" s="1"/>
  <c r="BF40" i="10" s="1"/>
  <c r="D41" i="10" s="1"/>
  <c r="U41" i="10" s="1"/>
  <c r="G40" i="10"/>
  <c r="X40" i="10" s="1"/>
  <c r="BI40" i="10" s="1"/>
  <c r="G41" i="10" s="1"/>
  <c r="X41" i="10" s="1"/>
  <c r="E40" i="10"/>
  <c r="V40" i="10" s="1"/>
  <c r="BG40" i="10" s="1"/>
  <c r="E41" i="10" s="1"/>
  <c r="V41" i="10" s="1"/>
  <c r="H40" i="10"/>
  <c r="Y40" i="10" s="1"/>
  <c r="BJ40" i="10" s="1"/>
  <c r="H41" i="10" s="1"/>
  <c r="Y41" i="10" s="1"/>
  <c r="BL38" i="10"/>
  <c r="BK38" i="10"/>
  <c r="AA38" i="10"/>
  <c r="AB38" i="10" s="1"/>
  <c r="AC38" i="10" s="1"/>
  <c r="BA38" i="10"/>
  <c r="AD38" i="10"/>
  <c r="AM38" i="10"/>
  <c r="AZ38" i="10"/>
  <c r="AY38" i="10"/>
  <c r="AN38" i="10"/>
  <c r="AK38" i="10"/>
  <c r="AW38" i="10"/>
  <c r="AV38" i="10"/>
  <c r="AJ38" i="10"/>
  <c r="BV39" i="12"/>
  <c r="AD39" i="12"/>
  <c r="BB39" i="12"/>
  <c r="AA39" i="12"/>
  <c r="AB39" i="12" s="1"/>
  <c r="AC39" i="12" s="1"/>
  <c r="BA39" i="12"/>
  <c r="BR39" i="12"/>
  <c r="AN39" i="12"/>
  <c r="AM39" i="12"/>
  <c r="AJ39" i="12"/>
  <c r="AK39" i="12"/>
  <c r="BQ39" i="12"/>
  <c r="BU39" i="12"/>
  <c r="BT39" i="12"/>
  <c r="AT38" i="10"/>
  <c r="AH39" i="12"/>
  <c r="AH38" i="10"/>
  <c r="AQ41" i="9" l="1"/>
  <c r="I51" i="9"/>
  <c r="C19" i="8"/>
  <c r="I46" i="9"/>
  <c r="C21" i="8" s="1"/>
  <c r="C27" i="8"/>
  <c r="U44" i="12"/>
  <c r="D44" i="12"/>
  <c r="C22" i="8"/>
  <c r="C20" i="8"/>
  <c r="BD39" i="10"/>
  <c r="B40" i="10" s="1"/>
  <c r="Z39" i="10"/>
  <c r="AT39" i="10" s="1"/>
  <c r="Z40" i="12"/>
  <c r="AH40" i="12" s="1"/>
  <c r="AT40" i="12"/>
  <c r="B41" i="12" s="1"/>
  <c r="AO39" i="12"/>
  <c r="AP39" i="12"/>
  <c r="AP38" i="10"/>
  <c r="AO38" i="10"/>
  <c r="C26" i="8" l="1"/>
  <c r="C28" i="8" s="1"/>
  <c r="I52" i="9"/>
  <c r="AH39" i="10"/>
  <c r="S41" i="12"/>
  <c r="I41" i="12"/>
  <c r="J41" i="12" s="1"/>
  <c r="K41" i="12" s="1"/>
  <c r="L41" i="12" s="1"/>
  <c r="AD39" i="10"/>
  <c r="BK39" i="10"/>
  <c r="BA39" i="10"/>
  <c r="BL39" i="10"/>
  <c r="AA39" i="10"/>
  <c r="AB39" i="10" s="1"/>
  <c r="AC39" i="10" s="1"/>
  <c r="AN39" i="10"/>
  <c r="AW39" i="10"/>
  <c r="AK39" i="10"/>
  <c r="AY39" i="10"/>
  <c r="AV39" i="10"/>
  <c r="AM39" i="10"/>
  <c r="AJ39" i="10"/>
  <c r="AZ39" i="10"/>
  <c r="BA40" i="12"/>
  <c r="AD40" i="12"/>
  <c r="AA40" i="12"/>
  <c r="AB40" i="12" s="1"/>
  <c r="AC40" i="12" s="1"/>
  <c r="AJ40" i="12"/>
  <c r="AK40" i="12"/>
  <c r="AN40" i="12"/>
  <c r="AM40" i="12"/>
  <c r="BB40" i="12"/>
  <c r="I40" i="10"/>
  <c r="J40" i="10" s="1"/>
  <c r="K40" i="10" s="1"/>
  <c r="L40" i="10" s="1"/>
  <c r="S40" i="10"/>
  <c r="BD40" i="10" s="1"/>
  <c r="AQ38" i="10"/>
  <c r="AQ39" i="12"/>
  <c r="AP39" i="10" l="1"/>
  <c r="AO40" i="12"/>
  <c r="AT41" i="12"/>
  <c r="Z41" i="12"/>
  <c r="AH41" i="12" s="1"/>
  <c r="AO39" i="10"/>
  <c r="AP40" i="12"/>
  <c r="Z40" i="10"/>
  <c r="AT40" i="10" s="1"/>
  <c r="B41" i="10"/>
  <c r="AQ39" i="10" l="1"/>
  <c r="AQ40" i="12"/>
  <c r="AA41" i="12"/>
  <c r="AB41" i="12" s="1"/>
  <c r="AC41" i="12" s="1"/>
  <c r="BA41" i="12"/>
  <c r="AD41" i="12"/>
  <c r="AN41" i="12"/>
  <c r="AK41" i="12"/>
  <c r="AM41" i="12"/>
  <c r="AJ41" i="12"/>
  <c r="BB41" i="12"/>
  <c r="BQ41" i="12"/>
  <c r="BO41" i="12"/>
  <c r="BU41" i="12"/>
  <c r="BR41" i="12"/>
  <c r="BT41" i="12"/>
  <c r="BV41" i="12"/>
  <c r="AD40" i="10"/>
  <c r="AA40" i="10"/>
  <c r="AB40" i="10" s="1"/>
  <c r="AC40" i="10" s="1"/>
  <c r="AH40" i="10"/>
  <c r="BK40" i="10"/>
  <c r="BL40" i="10"/>
  <c r="I41" i="10"/>
  <c r="J41" i="10" s="1"/>
  <c r="K41" i="10" s="1"/>
  <c r="L41" i="10" s="1"/>
  <c r="S41" i="10"/>
  <c r="AV40" i="10"/>
  <c r="AW40" i="10"/>
  <c r="BA40" i="10"/>
  <c r="AY40" i="10"/>
  <c r="AJ40" i="10"/>
  <c r="AZ40" i="10"/>
  <c r="AK40" i="10"/>
  <c r="AM40" i="10"/>
  <c r="AN40" i="10"/>
  <c r="AO41" i="12" l="1"/>
  <c r="AP41" i="12"/>
  <c r="AQ41" i="12" s="1"/>
  <c r="AP40" i="10"/>
  <c r="AO40" i="10"/>
  <c r="Z41" i="10"/>
  <c r="S44" i="12" l="1"/>
  <c r="Z44" i="12" s="1"/>
  <c r="I45" i="12" s="1"/>
  <c r="BO43" i="12"/>
  <c r="B44" i="12"/>
  <c r="I44" i="12" s="1"/>
  <c r="AH41" i="10"/>
  <c r="BJ41" i="10"/>
  <c r="BD41" i="10"/>
  <c r="BF41" i="10"/>
  <c r="BG41" i="10"/>
  <c r="BI41" i="10"/>
  <c r="AQ40" i="10"/>
  <c r="BK41" i="10"/>
  <c r="AT41" i="10"/>
  <c r="AV41" i="10"/>
  <c r="AK41" i="10"/>
  <c r="AZ41" i="10"/>
  <c r="AM41" i="10"/>
  <c r="AN41" i="10"/>
  <c r="AW41" i="10"/>
  <c r="AJ41" i="10"/>
  <c r="AY41" i="10"/>
  <c r="BA41" i="10"/>
  <c r="AD41" i="10"/>
  <c r="AA41" i="10"/>
  <c r="D19" i="8" l="1"/>
  <c r="I51" i="12"/>
  <c r="I46" i="12"/>
  <c r="D21" i="8" s="1"/>
  <c r="G21" i="8" s="1"/>
  <c r="BV43" i="12"/>
  <c r="BU43" i="12"/>
  <c r="BR43" i="12"/>
  <c r="BT43" i="12"/>
  <c r="D27" i="8"/>
  <c r="BQ43" i="12"/>
  <c r="I47" i="12"/>
  <c r="D22" i="8" s="1"/>
  <c r="G22" i="8" s="1"/>
  <c r="D20" i="8"/>
  <c r="G20" i="8" s="1"/>
  <c r="G44" i="10"/>
  <c r="X44" i="10"/>
  <c r="E44" i="10"/>
  <c r="V44" i="10"/>
  <c r="D44" i="10"/>
  <c r="U44" i="10"/>
  <c r="BL41" i="10"/>
  <c r="H44" i="10"/>
  <c r="Y44" i="10"/>
  <c r="AB41" i="10"/>
  <c r="AC41" i="10" s="1"/>
  <c r="AP41" i="10"/>
  <c r="AO41" i="10"/>
  <c r="D41" i="7"/>
  <c r="AD41" i="7" s="1"/>
  <c r="G41" i="7"/>
  <c r="AG41" i="7" s="1"/>
  <c r="E41" i="7"/>
  <c r="AE41" i="7" s="1"/>
  <c r="H41" i="7"/>
  <c r="AH41" i="7" s="1"/>
  <c r="B41" i="7"/>
  <c r="AB41" i="7" s="1"/>
  <c r="H44" i="7" l="1"/>
  <c r="E44" i="7"/>
  <c r="G44" i="7"/>
  <c r="D44" i="7"/>
  <c r="D26" i="8"/>
  <c r="D28" i="8" s="1"/>
  <c r="I52" i="12"/>
  <c r="K19" i="8"/>
  <c r="G19" i="8"/>
  <c r="S44" i="10"/>
  <c r="Z44" i="10" s="1"/>
  <c r="I45" i="10" s="1"/>
  <c r="I41" i="7"/>
  <c r="D17" i="13" s="1"/>
  <c r="AQ41" i="10"/>
  <c r="AI41" i="7"/>
  <c r="I47" i="10" l="1"/>
  <c r="B22" i="8" s="1"/>
  <c r="B20" i="8"/>
  <c r="B44" i="10"/>
  <c r="I44" i="10" s="1"/>
  <c r="BL43" i="10"/>
  <c r="I46" i="10"/>
  <c r="B21" i="8" s="1"/>
  <c r="B27" i="8"/>
  <c r="AJ41" i="7"/>
  <c r="U41" i="7"/>
  <c r="S41" i="7"/>
  <c r="R41" i="7"/>
  <c r="J41" i="7"/>
  <c r="K41" i="7" s="1"/>
  <c r="L41" i="7" s="1"/>
  <c r="P41" i="7"/>
  <c r="V41" i="7"/>
  <c r="B26" i="8" l="1"/>
  <c r="B28" i="8" s="1"/>
  <c r="B44" i="7"/>
  <c r="I44" i="7" s="1"/>
  <c r="X41" i="7"/>
  <c r="I46" i="7"/>
  <c r="D8" i="8" s="1"/>
  <c r="D13" i="8"/>
  <c r="F21" i="8"/>
  <c r="H21" i="8"/>
  <c r="I52" i="10"/>
  <c r="B19" i="8"/>
  <c r="I51" i="10"/>
  <c r="H20" i="8"/>
  <c r="F20" i="8"/>
  <c r="F22" i="8"/>
  <c r="H22" i="8"/>
  <c r="W41" i="7"/>
  <c r="D12" i="8" l="1"/>
  <c r="G12" i="8" s="1"/>
  <c r="F8" i="8"/>
  <c r="G8" i="8"/>
  <c r="I50" i="7"/>
  <c r="I51" i="7"/>
  <c r="I45" i="7"/>
  <c r="D6" i="8"/>
  <c r="Y41" i="7"/>
  <c r="F13" i="8"/>
  <c r="G13" i="8"/>
  <c r="J19" i="8"/>
  <c r="F19" i="8"/>
  <c r="H19" i="8"/>
  <c r="F12" i="8" l="1"/>
  <c r="D14" i="8"/>
  <c r="D9" i="8"/>
  <c r="D7" i="8"/>
  <c r="F6" i="8"/>
  <c r="J6" i="8"/>
  <c r="K6" i="8"/>
  <c r="G6" i="8"/>
  <c r="G7" i="8" l="1"/>
  <c r="F7" i="8"/>
  <c r="G9" i="8"/>
  <c r="F9" i="8"/>
</calcChain>
</file>

<file path=xl/sharedStrings.xml><?xml version="1.0" encoding="utf-8"?>
<sst xmlns="http://schemas.openxmlformats.org/spreadsheetml/2006/main" count="399" uniqueCount="157">
  <si>
    <t>Ending Equity Allocation</t>
  </si>
  <si>
    <t>Ending Fixed-Income Allocation</t>
  </si>
  <si>
    <t>Allocation Check</t>
  </si>
  <si>
    <t>Rebalance vs Panic</t>
  </si>
  <si>
    <t>No Change vs Panic</t>
  </si>
  <si>
    <t>Rebalance vs Not Rebalancing</t>
  </si>
  <si>
    <t>Equity</t>
  </si>
  <si>
    <t>Allocation</t>
  </si>
  <si>
    <t>Panic and Sell When S&amp;P 500 Falls &gt; 20%</t>
  </si>
  <si>
    <t>Table 2. Returns from Starting in 2000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</si>
  <si>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</si>
  <si>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</si>
  <si>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</si>
  <si>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</si>
  <si>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</si>
  <si>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</si>
  <si>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</si>
  <si>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</si>
  <si>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</si>
  <si>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</si>
  <si>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</si>
  <si>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</si>
  <si>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</si>
  <si>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</si>
  <si>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</si>
  <si>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</si>
  <si>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</si>
  <si>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</si>
  <si>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</si>
  <si>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</si>
  <si>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</si>
  <si>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</si>
  <si>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</si>
  <si>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</si>
  <si>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</si>
  <si>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</si>
  <si>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</si>
  <si>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</si>
  <si>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</si>
  <si>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</si>
  <si>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</si>
  <si>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</si>
  <si>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</si>
  <si>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</si>
  <si>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</si>
  <si>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</si>
  <si>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</si>
  <si>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</si>
  <si>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</si>
  <si>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</si>
  <si>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</si>
  <si>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</si>
  <si>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</si>
  <si>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</si>
  <si>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</si>
  <si>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</si>
  <si>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</si>
  <si>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</si>
  <si>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</si>
  <si>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</si>
  <si>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</si>
  <si>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</si>
  <si>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</si>
  <si>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</si>
  <si>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</si>
  <si>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</si>
  <si>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</si>
  <si>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</si>
  <si>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</si>
  <si>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</si>
  <si>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</si>
  <si>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</si>
  <si>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</si>
  <si>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</si>
  <si>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</si>
  <si>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</si>
  <si>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</si>
  <si>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</si>
  <si>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</si>
  <si>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</si>
  <si>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</si>
  <si>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</si>
  <si>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</si>
  <si>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</si>
  <si>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</si>
  <si>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</si>
  <si>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</si>
  <si>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</si>
  <si>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</si>
  <si>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</si>
  <si>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</si>
  <si>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</si>
  <si>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</si>
  <si>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</si>
  <si>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</si>
  <si>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</si>
  <si>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</si>
  <si>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</si>
  <si>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</si>
  <si>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</si>
  <si>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</si>
  <si>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</si>
  <si>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</si>
  <si>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</si>
  <si>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</si>
  <si>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</si>
  <si>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</si>
  <si>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</si>
  <si>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</si>
  <si>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</si>
  <si>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</si>
  <si>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</si>
  <si>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</si>
  <si>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</si>
  <si>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</si>
  <si>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</si>
  <si>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</si>
  <si>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</si>
  <si>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</si>
  <si>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</si>
  <si>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</si>
  <si>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</si>
  <si>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</si>
  <si>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</si>
  <si>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</si>
  <si>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</si>
  <si>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</si>
  <si>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</si>
  <si>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</si>
  <si>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</si>
  <si>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</si>
  <si>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</si>
  <si>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</si>
  <si>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</si>
  <si>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</si>
  <si>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</si>
  <si>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Withdrawal amount starts at 4% of year-end 2000 balance. Initial amount is adjusted upwards annually based on change in CPI using data in Table 1A.</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</si>
  <si>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</si>
  <si>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</si>
  <si>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</si>
  <si>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</si>
  <si>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</si>
  <si>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</si>
  <si>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</si>
  <si>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2000 balance. Initial amount is adjusted upwards annually based on change in CPI.</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</si>
  <si>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</si>
  <si>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https://research.stlouisfed.org/fred2/series/CPIAUCSL</t>
  </si>
  <si>
    <t>CPI Data from Econostats thru 2013, data from FRED for 2014 forward used</t>
  </si>
  <si>
    <t>Balance Check</t>
    <phoneticPr fontId="12" type="noConversion"/>
  </si>
  <si>
    <t>Gain/Loss Check</t>
  </si>
  <si>
    <t>Withdrawal Check</t>
  </si>
  <si>
    <t>Non-Withdrawal Portfolio Results (2000 - 2015)</t>
  </si>
  <si>
    <t>Withdrawal Portfolio Results (2000 - 2015)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</si>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</sst>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3" formatCode="_(* #,##0.00_);_(* \(#,##0.00\);_(* &quot;-&quot;??_);_(@_)"/>
    <numFmt numFmtId="164" formatCode="0.0%"/>
    <numFmt numFmtId="165" formatCode="_(* #,##0_);_(* \(#,##0\);_(* &quot;-&quot;??_);_(@_)"/>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cellStyleXfs>
  <cellXfs count="68">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0" borderId="1" xfId="0" applyBorder="1"/>
    <xf numFmtId="165" fontId="0" fillId="2" borderId="0" xfId="3" applyNumberFormat="1" applyFont="1" applyFill="1"/>
    <xf numFmtId="0" fontId="0" fillId="0" borderId="1" xfId="0" applyFill="1" applyBorder="1" applyAlignment="1">
      <alignment horizontal="right"/>
    </xf>
  </cellXfs>
  <cellStyles count="4">
    <cellStyle name="Comma" xfId="3" builtinId="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 Staying Invested</a:t>
            </a:r>
            <a:r>
              <a:rPr lang="en-US" baseline="0"/>
              <a:t>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extLst>
                <c:ext xmlns:c15="http://schemas.microsoft.com/office/drawing/2012/chart" uri="{02D57815-91ED-43cb-92C2-25804820EDAC}">
                  <c15:fullRef>
                    <c15:sqref>'Chart Data'!$A$2:$A$19</c15:sqref>
                  </c15:fullRef>
                </c:ext>
              </c:extLst>
              <c:f>'Chart Data'!$A$3:$A$19</c:f>
              <c:strCach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strCache>
            </c:strRef>
          </c:cat>
          <c:val>
            <c:numRef>
              <c:extLst>
                <c:ext xmlns:c15="http://schemas.microsoft.com/office/drawing/2012/chart" uri="{02D57815-91ED-43cb-92C2-25804820EDAC}">
                  <c15:fullRef>
                    <c15:sqref>'Chart Data'!$B$2:$B$19</c15:sqref>
                  </c15:fullRef>
                </c:ext>
              </c:extLst>
              <c:f>'Chart Data'!$B$3:$B$19</c:f>
              <c:numCache>
                <c:formatCode>"$"#,##0_);[Red]\("$"#,##0\)</c:formatCode>
                <c:ptCount val="17"/>
                <c:pt idx="0">
                  <c:v>101835.3</c:v>
                </c:pt>
                <c:pt idx="1">
                  <c:v>99248.770080000002</c:v>
                </c:pt>
                <c:pt idx="2">
                  <c:v>89430.684748606087</c:v>
                </c:pt>
                <c:pt idx="3">
                  <c:v>111323.05157140639</c:v>
                </c:pt>
                <c:pt idx="4">
                  <c:v>126733.48205658728</c:v>
                </c:pt>
                <c:pt idx="5">
                  <c:v>137904.41028279898</c:v>
                </c:pt>
                <c:pt idx="6">
                  <c:v>158403.5956572069</c:v>
                </c:pt>
                <c:pt idx="7">
                  <c:v>170407.73694330134</c:v>
                </c:pt>
                <c:pt idx="8">
                  <c:v>124645.49166445051</c:v>
                </c:pt>
                <c:pt idx="9">
                  <c:v>157150.2936897226</c:v>
                </c:pt>
                <c:pt idx="10">
                  <c:v>181787.77591755227</c:v>
                </c:pt>
                <c:pt idx="11">
                  <c:v>180057.15629081719</c:v>
                </c:pt>
                <c:pt idx="12">
                  <c:v>202743.83443466548</c:v>
                </c:pt>
                <c:pt idx="13">
                  <c:v>242973.03281261772</c:v>
                </c:pt>
                <c:pt idx="14">
                  <c:v>260075.90459229791</c:v>
                </c:pt>
                <c:pt idx="15">
                  <c:v>257171.03077958533</c:v>
                </c:pt>
                <c:pt idx="16">
                  <c:v>278357.55094711116</c:v>
                </c:pt>
              </c:numCache>
            </c:numRef>
          </c:val>
          <c:smooth val="0"/>
          <c:extLst>
            <c:ext xmlns:c16="http://schemas.microsoft.com/office/drawing/2014/chart" uri="{C3380CC4-5D6E-409C-BE32-E72D297353CC}">
              <c16:uniqueId val="{00000000-3962-49B3-BD8A-4233B2A1025B}"/>
            </c:ext>
          </c:extLst>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extLst>
                <c:ext xmlns:c15="http://schemas.microsoft.com/office/drawing/2012/chart" uri="{02D57815-91ED-43cb-92C2-25804820EDAC}">
                  <c15:fullRef>
                    <c15:sqref>'Chart Data'!$A$2:$A$19</c15:sqref>
                  </c15:fullRef>
                </c:ext>
              </c:extLst>
              <c:f>'Chart Data'!$A$3:$A$19</c:f>
              <c:strCach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strCache>
            </c:strRef>
          </c:cat>
          <c:val>
            <c:numRef>
              <c:extLst>
                <c:ext xmlns:c15="http://schemas.microsoft.com/office/drawing/2012/chart" uri="{02D57815-91ED-43cb-92C2-25804820EDAC}">
                  <c15:fullRef>
                    <c15:sqref>'Chart Data'!$C$2:$C$19</c15:sqref>
                  </c15:fullRef>
                </c:ext>
              </c:extLst>
              <c:f>'Chart Data'!$C$3:$C$19</c:f>
              <c:numCache>
                <c:formatCode>"$"#,##0_);[Red]\("$"#,##0\)</c:formatCode>
                <c:ptCount val="17"/>
                <c:pt idx="0">
                  <c:v>101835.3</c:v>
                </c:pt>
                <c:pt idx="1">
                  <c:v>99248.770080000002</c:v>
                </c:pt>
                <c:pt idx="2">
                  <c:v>91222.338555274619</c:v>
                </c:pt>
                <c:pt idx="3">
                  <c:v>111460.18051683245</c:v>
                </c:pt>
                <c:pt idx="4">
                  <c:v>126059.70187705757</c:v>
                </c:pt>
                <c:pt idx="5">
                  <c:v>136492.7119360606</c:v>
                </c:pt>
                <c:pt idx="6">
                  <c:v>154605.01203264075</c:v>
                </c:pt>
                <c:pt idx="7">
                  <c:v>166038.22694310365</c:v>
                </c:pt>
                <c:pt idx="8">
                  <c:v>120697.32648368151</c:v>
                </c:pt>
                <c:pt idx="9">
                  <c:v>148699.02914266271</c:v>
                </c:pt>
                <c:pt idx="10">
                  <c:v>171122.46382309133</c:v>
                </c:pt>
                <c:pt idx="11">
                  <c:v>170310.87851001587</c:v>
                </c:pt>
                <c:pt idx="12">
                  <c:v>190943.33246328583</c:v>
                </c:pt>
                <c:pt idx="13">
                  <c:v>228090.09267375901</c:v>
                </c:pt>
                <c:pt idx="14">
                  <c:v>246455.22535479546</c:v>
                </c:pt>
                <c:pt idx="15">
                  <c:v>243351.10286638309</c:v>
                </c:pt>
                <c:pt idx="16">
                  <c:v>265216.93682286551</c:v>
                </c:pt>
              </c:numCache>
            </c:numRef>
          </c:val>
          <c:smooth val="0"/>
          <c:extLst>
            <c:ext xmlns:c16="http://schemas.microsoft.com/office/drawing/2014/chart" uri="{C3380CC4-5D6E-409C-BE32-E72D297353CC}">
              <c16:uniqueId val="{00000001-3962-49B3-BD8A-4233B2A1025B}"/>
            </c:ext>
          </c:extLst>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extLst>
                <c:ext xmlns:c15="http://schemas.microsoft.com/office/drawing/2012/chart" uri="{02D57815-91ED-43cb-92C2-25804820EDAC}">
                  <c15:fullRef>
                    <c15:sqref>'Chart Data'!$A$2:$A$19</c15:sqref>
                  </c15:fullRef>
                </c:ext>
              </c:extLst>
              <c:f>'Chart Data'!$A$3:$A$19</c:f>
              <c:strCach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strCache>
            </c:strRef>
          </c:cat>
          <c:val>
            <c:numRef>
              <c:extLst>
                <c:ext xmlns:c15="http://schemas.microsoft.com/office/drawing/2012/chart" uri="{02D57815-91ED-43cb-92C2-25804820EDAC}">
                  <c15:fullRef>
                    <c15:sqref>'Chart Data'!$D$2:$D$19</c15:sqref>
                  </c15:fullRef>
                </c:ext>
              </c:extLst>
              <c:f>'Chart Data'!$D$3:$D$19</c:f>
              <c:numCache>
                <c:formatCode>"$"#,##0_);[Red]\("$"#,##0\)</c:formatCode>
                <c:ptCount val="17"/>
                <c:pt idx="0">
                  <c:v>101835.3</c:v>
                </c:pt>
                <c:pt idx="1">
                  <c:v>99248.770080000002</c:v>
                </c:pt>
                <c:pt idx="2">
                  <c:v>91222.338555274619</c:v>
                </c:pt>
                <c:pt idx="3">
                  <c:v>94843.865395919027</c:v>
                </c:pt>
                <c:pt idx="4">
                  <c:v>107787.87161355787</c:v>
                </c:pt>
                <c:pt idx="5">
                  <c:v>117088.42262175484</c:v>
                </c:pt>
                <c:pt idx="6">
                  <c:v>134331.54139487573</c:v>
                </c:pt>
                <c:pt idx="7">
                  <c:v>145044.06790718262</c:v>
                </c:pt>
                <c:pt idx="8">
                  <c:v>101480.20112478733</c:v>
                </c:pt>
                <c:pt idx="9">
                  <c:v>107497.97705148721</c:v>
                </c:pt>
                <c:pt idx="10">
                  <c:v>123618.37369012824</c:v>
                </c:pt>
                <c:pt idx="11">
                  <c:v>122267.63946389305</c:v>
                </c:pt>
                <c:pt idx="12">
                  <c:v>138030.09662789985</c:v>
                </c:pt>
                <c:pt idx="13">
                  <c:v>166805.92382634431</c:v>
                </c:pt>
                <c:pt idx="14">
                  <c:v>180213.90493143786</c:v>
                </c:pt>
                <c:pt idx="15">
                  <c:v>178154.85381772491</c:v>
                </c:pt>
                <c:pt idx="16">
                  <c:v>194755.41649772259</c:v>
                </c:pt>
              </c:numCache>
            </c:numRef>
          </c:val>
          <c:smooth val="0"/>
          <c:extLst>
            <c:ext xmlns:c16="http://schemas.microsoft.com/office/drawing/2014/chart" uri="{C3380CC4-5D6E-409C-BE32-E72D297353CC}">
              <c16:uniqueId val="{00000002-3962-49B3-BD8A-4233B2A1025B}"/>
            </c:ext>
          </c:extLst>
        </c:ser>
        <c:dLbls>
          <c:showLegendKey val="0"/>
          <c:showVal val="0"/>
          <c:showCatName val="0"/>
          <c:showSerName val="0"/>
          <c:showPercent val="0"/>
          <c:showBubbleSize val="0"/>
        </c:dLbls>
        <c:smooth val="0"/>
        <c:axId val="426311848"/>
        <c:axId val="426313416"/>
      </c:lineChart>
      <c:catAx>
        <c:axId val="426311848"/>
        <c:scaling>
          <c:orientation val="minMax"/>
        </c:scaling>
        <c:delete val="0"/>
        <c:axPos val="b"/>
        <c:numFmt formatCode="General" sourceLinked="1"/>
        <c:majorTickMark val="out"/>
        <c:minorTickMark val="none"/>
        <c:tickLblPos val="nextTo"/>
        <c:crossAx val="426313416"/>
        <c:crosses val="autoZero"/>
        <c:auto val="1"/>
        <c:lblAlgn val="ctr"/>
        <c:lblOffset val="100"/>
        <c:noMultiLvlLbl val="0"/>
      </c:catAx>
      <c:valAx>
        <c:axId val="426313416"/>
        <c:scaling>
          <c:orientation val="minMax"/>
          <c:max val="300000"/>
          <c:min val="75000"/>
        </c:scaling>
        <c:delete val="0"/>
        <c:axPos val="l"/>
        <c:majorGridlines/>
        <c:numFmt formatCode="&quot;$&quot;#,##0_);[Red]\(&quot;$&quot;#,##0\)" sourceLinked="1"/>
        <c:majorTickMark val="out"/>
        <c:minorTickMark val="none"/>
        <c:tickLblPos val="nextTo"/>
        <c:crossAx val="426311848"/>
        <c:crosses val="autoZero"/>
        <c:crossBetween val="between"/>
        <c:majorUnit val="25000"/>
      </c:valAx>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sheetPr/>
  <sheetViews>
    <sheetView zoomScale="64"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7750" cy="6292453"/>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workbookViewId="0">
      <selection activeCell="B1" sqref="B1"/>
    </sheetView>
  </sheetViews>
  <sheetFormatPr defaultColWidth="8.83984375" defaultRowHeight="14.4" x14ac:dyDescent="0.55000000000000004"/>
  <cols>
    <col min="2" max="2" width="84.15625" style="8" customWidth="1"/>
    <col min="4" max="4" width="64.578125" customWidth="1"/>
  </cols>
  <sheetData>
    <row r="1" spans="1:4" x14ac:dyDescent="0.55000000000000004">
      <c r="A1" s="18" t="s">
        <v>54</v>
      </c>
    </row>
    <row r="3" spans="1:4" x14ac:dyDescent="0.55000000000000004">
      <c r="A3" s="50" t="s">
        <v>87</v>
      </c>
    </row>
    <row r="4" spans="1:4" x14ac:dyDescent="0.55000000000000004">
      <c r="A4" t="s">
        <v>123</v>
      </c>
    </row>
    <row r="5" spans="1:4" x14ac:dyDescent="0.55000000000000004">
      <c r="A5" t="s">
        <v>61</v>
      </c>
    </row>
    <row r="6" spans="1:4" x14ac:dyDescent="0.55000000000000004">
      <c r="A6" t="s">
        <v>124</v>
      </c>
    </row>
    <row r="7" spans="1:4" x14ac:dyDescent="0.55000000000000004">
      <c r="A7" t="s">
        <v>71</v>
      </c>
    </row>
    <row r="8" spans="1:4" x14ac:dyDescent="0.55000000000000004">
      <c r="A8" t="s">
        <v>89</v>
      </c>
    </row>
    <row r="9" spans="1:4" x14ac:dyDescent="0.55000000000000004">
      <c r="A9" t="s">
        <v>90</v>
      </c>
    </row>
    <row r="10" spans="1:4" x14ac:dyDescent="0.55000000000000004">
      <c r="A10" t="s">
        <v>92</v>
      </c>
    </row>
    <row r="11" spans="1:4" x14ac:dyDescent="0.55000000000000004">
      <c r="A11" t="s">
        <v>93</v>
      </c>
    </row>
    <row r="14" spans="1:4" x14ac:dyDescent="0.55000000000000004">
      <c r="A14" s="51" t="s">
        <v>67</v>
      </c>
    </row>
    <row r="15" spans="1:4" x14ac:dyDescent="0.55000000000000004">
      <c r="A15" s="31" t="s">
        <v>52</v>
      </c>
    </row>
    <row r="16" spans="1:4" ht="28.8" x14ac:dyDescent="0.55000000000000004">
      <c r="A16" s="31">
        <v>1</v>
      </c>
      <c r="B16" s="8" t="s">
        <v>55</v>
      </c>
      <c r="D16" s="8"/>
    </row>
    <row r="17" spans="1:4" ht="28.8" x14ac:dyDescent="0.55000000000000004">
      <c r="A17" s="31">
        <v>2</v>
      </c>
      <c r="B17" s="8" t="s">
        <v>91</v>
      </c>
      <c r="D17" s="8"/>
    </row>
    <row r="18" spans="1:4" x14ac:dyDescent="0.55000000000000004">
      <c r="A18" s="31">
        <v>3</v>
      </c>
      <c r="B18" s="8" t="s">
        <v>125</v>
      </c>
      <c r="D18" s="8"/>
    </row>
    <row r="19" spans="1:4" x14ac:dyDescent="0.55000000000000004">
      <c r="A19" s="31"/>
    </row>
    <row r="20" spans="1:4" x14ac:dyDescent="0.55000000000000004">
      <c r="A20" s="31"/>
    </row>
    <row r="21" spans="1:4" x14ac:dyDescent="0.55000000000000004">
      <c r="A21" s="52" t="s">
        <v>94</v>
      </c>
    </row>
    <row r="22" spans="1:4" x14ac:dyDescent="0.55000000000000004">
      <c r="A22" s="31" t="s">
        <v>52</v>
      </c>
    </row>
    <row r="23" spans="1:4" x14ac:dyDescent="0.55000000000000004">
      <c r="A23" s="31">
        <v>1</v>
      </c>
      <c r="B23" s="8" t="s">
        <v>128</v>
      </c>
      <c r="D23" s="8"/>
    </row>
    <row r="24" spans="1:4" ht="43.2" x14ac:dyDescent="0.55000000000000004">
      <c r="A24" s="31">
        <v>2</v>
      </c>
      <c r="B24" s="8" t="s">
        <v>129</v>
      </c>
      <c r="D24" s="8"/>
    </row>
    <row r="25" spans="1:4" ht="43.2" x14ac:dyDescent="0.55000000000000004">
      <c r="A25" s="31">
        <v>3</v>
      </c>
      <c r="B25" s="8" t="s">
        <v>130</v>
      </c>
      <c r="D25" s="8"/>
    </row>
    <row r="26" spans="1:4" ht="28.8" x14ac:dyDescent="0.55000000000000004">
      <c r="A26" s="31">
        <v>4</v>
      </c>
      <c r="B26" s="8" t="s">
        <v>32</v>
      </c>
      <c r="D26" s="8"/>
    </row>
    <row r="27" spans="1:4" ht="43.2" x14ac:dyDescent="0.55000000000000004">
      <c r="A27" s="31">
        <v>5</v>
      </c>
      <c r="B27" s="8" t="s">
        <v>33</v>
      </c>
      <c r="D27" s="8"/>
    </row>
    <row r="28" spans="1:4" x14ac:dyDescent="0.55000000000000004">
      <c r="A28" s="31"/>
    </row>
    <row r="29" spans="1:4" x14ac:dyDescent="0.55000000000000004">
      <c r="A29" s="31"/>
    </row>
    <row r="30" spans="1:4" x14ac:dyDescent="0.55000000000000004">
      <c r="A30" s="52" t="s">
        <v>35</v>
      </c>
    </row>
    <row r="31" spans="1:4" x14ac:dyDescent="0.55000000000000004">
      <c r="A31" s="31" t="s">
        <v>52</v>
      </c>
    </row>
    <row r="32" spans="1:4" x14ac:dyDescent="0.55000000000000004">
      <c r="A32" s="31">
        <v>1</v>
      </c>
      <c r="B32" s="8" t="s">
        <v>128</v>
      </c>
      <c r="C32" s="31"/>
      <c r="D32" s="8"/>
    </row>
    <row r="33" spans="1:4" ht="43.2" x14ac:dyDescent="0.55000000000000004">
      <c r="A33" s="31">
        <v>2</v>
      </c>
      <c r="B33" s="8" t="s">
        <v>133</v>
      </c>
      <c r="C33" s="31"/>
      <c r="D33" s="8"/>
    </row>
    <row r="34" spans="1:4" ht="43.2" x14ac:dyDescent="0.55000000000000004">
      <c r="A34" s="31">
        <v>3</v>
      </c>
      <c r="B34" s="8" t="s">
        <v>131</v>
      </c>
      <c r="C34" s="31"/>
      <c r="D34" s="8"/>
    </row>
    <row r="35" spans="1:4" ht="43.2" x14ac:dyDescent="0.55000000000000004">
      <c r="A35" s="31">
        <v>4</v>
      </c>
      <c r="B35" s="8" t="s">
        <v>132</v>
      </c>
      <c r="C35" s="31"/>
      <c r="D35" s="8"/>
    </row>
    <row r="36" spans="1:4" x14ac:dyDescent="0.55000000000000004">
      <c r="A36" s="31"/>
    </row>
    <row r="37" spans="1:4" x14ac:dyDescent="0.55000000000000004">
      <c r="A37" s="31"/>
    </row>
    <row r="38" spans="1:4" x14ac:dyDescent="0.55000000000000004">
      <c r="A38" s="52" t="s">
        <v>59</v>
      </c>
    </row>
    <row r="39" spans="1:4" x14ac:dyDescent="0.55000000000000004">
      <c r="A39" s="31" t="s">
        <v>52</v>
      </c>
    </row>
    <row r="40" spans="1:4" x14ac:dyDescent="0.55000000000000004">
      <c r="A40" s="31">
        <v>1</v>
      </c>
      <c r="B40" s="8" t="s">
        <v>128</v>
      </c>
      <c r="C40" s="31"/>
      <c r="D40" s="8"/>
    </row>
    <row r="41" spans="1:4" x14ac:dyDescent="0.55000000000000004">
      <c r="A41" s="31" t="s">
        <v>118</v>
      </c>
      <c r="B41" s="8" t="s">
        <v>119</v>
      </c>
      <c r="C41" s="31"/>
      <c r="D41" s="8"/>
    </row>
    <row r="42" spans="1:4" ht="57.6" x14ac:dyDescent="0.55000000000000004">
      <c r="A42" s="31">
        <v>2</v>
      </c>
      <c r="B42" s="8" t="s">
        <v>138</v>
      </c>
      <c r="C42" s="31"/>
      <c r="D42" s="8"/>
    </row>
    <row r="43" spans="1:4" ht="28.8" x14ac:dyDescent="0.55000000000000004">
      <c r="A43" s="31">
        <v>3</v>
      </c>
      <c r="B43" s="8" t="s">
        <v>136</v>
      </c>
      <c r="C43" s="31"/>
      <c r="D43" s="8"/>
    </row>
    <row r="44" spans="1:4" ht="43.2" x14ac:dyDescent="0.55000000000000004">
      <c r="A44" s="31">
        <v>4</v>
      </c>
      <c r="B44" s="8" t="s">
        <v>134</v>
      </c>
      <c r="C44" s="31"/>
      <c r="D44" s="8"/>
    </row>
    <row r="45" spans="1:4" ht="28.8" x14ac:dyDescent="0.55000000000000004">
      <c r="A45" s="31">
        <v>5</v>
      </c>
      <c r="B45" s="8" t="s">
        <v>135</v>
      </c>
      <c r="C45" s="31"/>
      <c r="D45" s="8"/>
    </row>
    <row r="46" spans="1:4" x14ac:dyDescent="0.55000000000000004">
      <c r="A46" s="31"/>
    </row>
    <row r="47" spans="1:4" x14ac:dyDescent="0.55000000000000004">
      <c r="A47" s="31"/>
    </row>
    <row r="48" spans="1:4" x14ac:dyDescent="0.55000000000000004">
      <c r="A48" s="52" t="s">
        <v>121</v>
      </c>
    </row>
    <row r="49" spans="1:4" x14ac:dyDescent="0.55000000000000004">
      <c r="A49" s="31" t="s">
        <v>52</v>
      </c>
    </row>
    <row r="50" spans="1:4" x14ac:dyDescent="0.55000000000000004">
      <c r="A50" s="31">
        <v>1</v>
      </c>
      <c r="B50" s="8" t="s">
        <v>128</v>
      </c>
      <c r="C50" s="31"/>
      <c r="D50" s="8"/>
    </row>
    <row r="51" spans="1:4" x14ac:dyDescent="0.55000000000000004">
      <c r="A51" s="31" t="s">
        <v>118</v>
      </c>
      <c r="B51" s="8" t="s">
        <v>139</v>
      </c>
      <c r="C51" s="31"/>
      <c r="D51" s="8"/>
    </row>
    <row r="52" spans="1:4" ht="72" x14ac:dyDescent="0.55000000000000004">
      <c r="A52" s="31">
        <v>2</v>
      </c>
      <c r="B52" s="8" t="s">
        <v>142</v>
      </c>
      <c r="C52" s="31"/>
      <c r="D52" s="8"/>
    </row>
    <row r="53" spans="1:4" ht="28.8" x14ac:dyDescent="0.55000000000000004">
      <c r="A53" s="31">
        <v>3</v>
      </c>
      <c r="B53" s="8" t="s">
        <v>136</v>
      </c>
      <c r="C53" s="31"/>
      <c r="D53" s="8"/>
    </row>
    <row r="54" spans="1:4" ht="43.2" x14ac:dyDescent="0.55000000000000004">
      <c r="A54" s="31">
        <v>4</v>
      </c>
      <c r="B54" s="8" t="s">
        <v>134</v>
      </c>
      <c r="C54" s="31"/>
      <c r="D54" s="8"/>
    </row>
    <row r="55" spans="1:4" ht="43.2" x14ac:dyDescent="0.55000000000000004">
      <c r="A55" s="31">
        <v>5</v>
      </c>
      <c r="B55" s="8" t="s">
        <v>140</v>
      </c>
      <c r="C55" s="31"/>
      <c r="D55" s="8"/>
    </row>
    <row r="56" spans="1:4" ht="28.8" x14ac:dyDescent="0.55000000000000004">
      <c r="A56" s="31">
        <v>6</v>
      </c>
      <c r="B56" s="8" t="s">
        <v>32</v>
      </c>
      <c r="C56" s="31"/>
      <c r="D56" s="8"/>
    </row>
    <row r="57" spans="1:4" ht="43.2" x14ac:dyDescent="0.55000000000000004">
      <c r="A57" s="31">
        <v>7</v>
      </c>
      <c r="B57" s="8" t="s">
        <v>141</v>
      </c>
      <c r="C57" s="31"/>
      <c r="D57" s="8"/>
    </row>
    <row r="60" spans="1:4" x14ac:dyDescent="0.55000000000000004">
      <c r="A60" s="34" t="s">
        <v>26</v>
      </c>
    </row>
    <row r="61" spans="1:4" x14ac:dyDescent="0.55000000000000004">
      <c r="A61" s="31" t="s">
        <v>52</v>
      </c>
    </row>
    <row r="62" spans="1:4" x14ac:dyDescent="0.55000000000000004">
      <c r="A62" s="31">
        <v>1</v>
      </c>
      <c r="B62" s="8" t="s">
        <v>128</v>
      </c>
      <c r="C62" s="31"/>
      <c r="D62" s="8"/>
    </row>
    <row r="63" spans="1:4" x14ac:dyDescent="0.55000000000000004">
      <c r="A63" s="31" t="s">
        <v>118</v>
      </c>
      <c r="B63" s="8" t="s">
        <v>139</v>
      </c>
      <c r="C63" s="31"/>
      <c r="D63" s="8"/>
    </row>
    <row r="64" spans="1:4" ht="72" x14ac:dyDescent="0.55000000000000004">
      <c r="A64" s="31">
        <v>2</v>
      </c>
      <c r="B64" s="8" t="s">
        <v>145</v>
      </c>
      <c r="C64" s="31"/>
      <c r="D64" s="8"/>
    </row>
    <row r="65" spans="1:4" ht="28.8" x14ac:dyDescent="0.55000000000000004">
      <c r="A65" s="31">
        <v>3</v>
      </c>
      <c r="B65" s="8" t="s">
        <v>144</v>
      </c>
      <c r="C65" s="31"/>
      <c r="D65" s="8"/>
    </row>
    <row r="66" spans="1:4" ht="43.2" x14ac:dyDescent="0.55000000000000004">
      <c r="A66" s="31">
        <v>4</v>
      </c>
      <c r="B66" s="8" t="s">
        <v>143</v>
      </c>
      <c r="C66" s="31"/>
      <c r="D66" s="8"/>
    </row>
    <row r="67" spans="1:4" x14ac:dyDescent="0.55000000000000004">
      <c r="A67" s="31">
        <v>5</v>
      </c>
      <c r="B67" s="8" t="s">
        <v>60</v>
      </c>
      <c r="C67" s="31"/>
      <c r="D67" s="8"/>
    </row>
    <row r="68" spans="1:4" ht="43.2" x14ac:dyDescent="0.55000000000000004">
      <c r="A68" s="31">
        <v>6</v>
      </c>
      <c r="B68" s="8" t="s">
        <v>27</v>
      </c>
      <c r="C68" s="31"/>
      <c r="D68" s="8"/>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54"/>
  <sheetViews>
    <sheetView topLeftCell="A43" workbookViewId="0">
      <selection activeCell="A45" sqref="A45"/>
    </sheetView>
  </sheetViews>
  <sheetFormatPr defaultColWidth="8.83984375" defaultRowHeight="14.4" x14ac:dyDescent="0.55000000000000004"/>
  <cols>
    <col min="1" max="1" width="25.41796875" customWidth="1"/>
    <col min="9" max="9" width="11.68359375" customWidth="1"/>
    <col min="10" max="10" width="10" bestFit="1" customWidth="1"/>
    <col min="15" max="15" width="9.83984375" bestFit="1" customWidth="1"/>
    <col min="16" max="16" width="9.83984375" customWidth="1"/>
    <col min="19" max="19" width="10.83984375" bestFit="1" customWidth="1"/>
    <col min="21" max="21" width="11.83984375" bestFit="1" customWidth="1"/>
    <col min="25" max="26" width="10.83984375" bestFit="1" customWidth="1"/>
    <col min="27" max="31" width="10.83984375" customWidth="1"/>
    <col min="46" max="46" width="10.83984375" bestFit="1" customWidth="1"/>
  </cols>
  <sheetData>
    <row r="1" spans="1:16" x14ac:dyDescent="0.55000000000000004">
      <c r="A1" s="18" t="s">
        <v>96</v>
      </c>
      <c r="N1" s="18" t="s">
        <v>68</v>
      </c>
    </row>
    <row r="2" spans="1:16" x14ac:dyDescent="0.55000000000000004">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55000000000000004">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55000000000000004">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55000000000000004">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55000000000000004">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55000000000000004">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55000000000000004">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55000000000000004">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55000000000000004">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55000000000000004">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55000000000000004">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55000000000000004">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55000000000000004">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55000000000000004">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55000000000000004">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55000000000000004">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55000000000000004">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86" x14ac:dyDescent="0.55000000000000004">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86" x14ac:dyDescent="0.55000000000000004">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3" spans="1:86" x14ac:dyDescent="0.55000000000000004">
      <c r="A23" s="18" t="s">
        <v>14</v>
      </c>
      <c r="N23" s="18" t="s">
        <v>120</v>
      </c>
      <c r="R23" s="18" t="s">
        <v>20</v>
      </c>
      <c r="AG23" s="18" t="s">
        <v>21</v>
      </c>
      <c r="AT23" s="18" t="s">
        <v>25</v>
      </c>
      <c r="BN23" s="18" t="s">
        <v>122</v>
      </c>
    </row>
    <row r="24" spans="1:86"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S24" s="4" t="str">
        <f t="shared" ref="S24:Z26" si="1">B24</f>
        <v>LC Stocks</v>
      </c>
      <c r="T24" s="4" t="str">
        <f t="shared" si="1"/>
        <v>Ext Mkt</v>
      </c>
      <c r="U24" s="4" t="str">
        <f t="shared" si="1"/>
        <v>Mcap Stk</v>
      </c>
      <c r="V24" s="4" t="str">
        <f t="shared" si="1"/>
        <v>Small Cap</v>
      </c>
      <c r="W24" s="4" t="str">
        <f t="shared" si="1"/>
        <v>Intl Val</v>
      </c>
      <c r="X24" s="4" t="str">
        <f t="shared" si="1"/>
        <v>Tot Int Stk</v>
      </c>
      <c r="Y24" s="4" t="str">
        <f t="shared" si="1"/>
        <v>Bonds</v>
      </c>
      <c r="Z24" s="5"/>
      <c r="AA24" s="5" t="s">
        <v>39</v>
      </c>
      <c r="AB24" s="5" t="s">
        <v>36</v>
      </c>
      <c r="AC24" s="5" t="s">
        <v>37</v>
      </c>
      <c r="AD24" s="5" t="s">
        <v>51</v>
      </c>
      <c r="AE24" s="5"/>
      <c r="AH24" s="4" t="str">
        <f t="shared" ref="AH24:AN25" si="2">B24</f>
        <v>LC Stocks</v>
      </c>
      <c r="AI24" s="4" t="str">
        <f t="shared" si="2"/>
        <v>Ext Mkt</v>
      </c>
      <c r="AJ24" s="4" t="str">
        <f t="shared" si="2"/>
        <v>Mcap Stk</v>
      </c>
      <c r="AK24" s="4" t="str">
        <f t="shared" si="2"/>
        <v>Small Cap</v>
      </c>
      <c r="AL24" s="4" t="str">
        <f t="shared" si="2"/>
        <v>Intl Val</v>
      </c>
      <c r="AM24" s="4" t="str">
        <f t="shared" si="2"/>
        <v>Tot Int Stk</v>
      </c>
      <c r="AN24" s="4" t="str">
        <f t="shared" si="2"/>
        <v>Bonds</v>
      </c>
      <c r="AO24" s="5"/>
      <c r="AP24" s="5" t="s">
        <v>6</v>
      </c>
      <c r="AQ24" s="5" t="s">
        <v>7</v>
      </c>
      <c r="AT24" s="4" t="str">
        <f>AH24</f>
        <v>LC Stocks</v>
      </c>
      <c r="AU24" s="4" t="str">
        <f t="shared" ref="AU24:BA25" si="3">AI24</f>
        <v>Ext Mkt</v>
      </c>
      <c r="AV24" s="4" t="str">
        <f t="shared" si="3"/>
        <v>Mcap Stk</v>
      </c>
      <c r="AW24" s="4" t="str">
        <f t="shared" si="3"/>
        <v>Small Cap</v>
      </c>
      <c r="AX24" s="4" t="str">
        <f t="shared" si="3"/>
        <v>Intl Val</v>
      </c>
      <c r="AY24" s="4" t="str">
        <f t="shared" si="3"/>
        <v>Tot Int Stk</v>
      </c>
      <c r="AZ24" s="4" t="str">
        <f t="shared" si="3"/>
        <v>Bonds</v>
      </c>
      <c r="BA24" s="4">
        <f t="shared" si="3"/>
        <v>0</v>
      </c>
      <c r="BB24" t="s">
        <v>51</v>
      </c>
      <c r="BO24" s="4" t="str">
        <f t="shared" ref="BO24:BU26" si="4">AH24</f>
        <v>LC Stocks</v>
      </c>
      <c r="BP24" s="4" t="str">
        <f t="shared" si="4"/>
        <v>Ext Mkt</v>
      </c>
      <c r="BQ24" s="4" t="str">
        <f t="shared" si="4"/>
        <v>Mcap Stk</v>
      </c>
      <c r="BR24" s="4" t="str">
        <f t="shared" si="4"/>
        <v>Small Cap</v>
      </c>
      <c r="BS24" s="4" t="str">
        <f t="shared" si="4"/>
        <v>Intl Val</v>
      </c>
      <c r="BT24" s="4" t="str">
        <f t="shared" si="4"/>
        <v>Tot Int Stk</v>
      </c>
      <c r="BU24" s="4" t="str">
        <f t="shared" si="4"/>
        <v>Bonds</v>
      </c>
      <c r="BV24" s="5"/>
    </row>
    <row r="25" spans="1:86"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R25" t="str">
        <f>A25</f>
        <v>Fund</v>
      </c>
      <c r="S25" s="4" t="str">
        <f t="shared" si="1"/>
        <v>VFINX</v>
      </c>
      <c r="T25" s="4" t="str">
        <f t="shared" si="1"/>
        <v>VEXMX</v>
      </c>
      <c r="U25" s="4" t="str">
        <f t="shared" si="1"/>
        <v>VIMSX</v>
      </c>
      <c r="V25" s="4" t="str">
        <f t="shared" si="1"/>
        <v>NAESX</v>
      </c>
      <c r="W25" s="4" t="str">
        <f t="shared" si="1"/>
        <v>VTRIX</v>
      </c>
      <c r="X25" s="4" t="str">
        <f t="shared" si="1"/>
        <v>VGTSX</v>
      </c>
      <c r="Y25" s="4" t="str">
        <f t="shared" si="1"/>
        <v>VBMFX</v>
      </c>
      <c r="Z25" s="5" t="str">
        <f t="shared" si="1"/>
        <v>Total</v>
      </c>
      <c r="AA25" s="5" t="s">
        <v>40</v>
      </c>
      <c r="AB25" s="5" t="s">
        <v>38</v>
      </c>
      <c r="AC25" s="5" t="s">
        <v>38</v>
      </c>
      <c r="AD25" s="5" t="s">
        <v>50</v>
      </c>
      <c r="AE25" s="5"/>
      <c r="AG25" t="s">
        <v>117</v>
      </c>
      <c r="AH25" s="4" t="str">
        <f t="shared" si="2"/>
        <v>VFINX</v>
      </c>
      <c r="AI25" s="4" t="str">
        <f t="shared" si="2"/>
        <v>VEXMX</v>
      </c>
      <c r="AJ25" s="4" t="str">
        <f t="shared" si="2"/>
        <v>VIMSX</v>
      </c>
      <c r="AK25" s="4" t="str">
        <f t="shared" si="2"/>
        <v>NAESX</v>
      </c>
      <c r="AL25" s="4" t="str">
        <f t="shared" si="2"/>
        <v>VTRIX</v>
      </c>
      <c r="AM25" s="4" t="str">
        <f t="shared" si="2"/>
        <v>VGTSX</v>
      </c>
      <c r="AN25" s="4" t="str">
        <f t="shared" si="2"/>
        <v>VBMFX</v>
      </c>
      <c r="AO25" s="5" t="s">
        <v>115</v>
      </c>
      <c r="AP25" s="5" t="s">
        <v>7</v>
      </c>
      <c r="AQ25" s="5" t="s">
        <v>50</v>
      </c>
      <c r="AS25" t="s">
        <v>117</v>
      </c>
      <c r="AT25" s="4" t="str">
        <f>AH25</f>
        <v>VFINX</v>
      </c>
      <c r="AU25" s="4" t="str">
        <f t="shared" si="3"/>
        <v>VEXMX</v>
      </c>
      <c r="AV25" s="4" t="str">
        <f t="shared" si="3"/>
        <v>VIMSX</v>
      </c>
      <c r="AW25" s="4" t="str">
        <f t="shared" si="3"/>
        <v>NAESX</v>
      </c>
      <c r="AX25" s="4" t="str">
        <f t="shared" si="3"/>
        <v>VTRIX</v>
      </c>
      <c r="AY25" s="4" t="str">
        <f t="shared" si="3"/>
        <v>VGTSX</v>
      </c>
      <c r="AZ25" s="4" t="str">
        <f t="shared" si="3"/>
        <v>VBMFX</v>
      </c>
      <c r="BA25" s="4" t="str">
        <f t="shared" si="3"/>
        <v>Total</v>
      </c>
      <c r="BB25" t="s">
        <v>50</v>
      </c>
      <c r="BN25" t="str">
        <f t="shared" ref="BN25:BN41" si="5">AG25</f>
        <v>Fund</v>
      </c>
      <c r="BO25" s="4" t="str">
        <f t="shared" si="4"/>
        <v>VFINX</v>
      </c>
      <c r="BP25" s="4" t="str">
        <f t="shared" si="4"/>
        <v>VEXMX</v>
      </c>
      <c r="BQ25" s="4" t="str">
        <f t="shared" si="4"/>
        <v>VIMSX</v>
      </c>
      <c r="BR25" s="4" t="str">
        <f t="shared" si="4"/>
        <v>NAESX</v>
      </c>
      <c r="BS25" s="4" t="str">
        <f t="shared" si="4"/>
        <v>VTRIX</v>
      </c>
      <c r="BT25" s="4" t="str">
        <f t="shared" si="4"/>
        <v>VGTSX</v>
      </c>
      <c r="BU25" s="4" t="str">
        <f t="shared" si="4"/>
        <v>VBMFX</v>
      </c>
      <c r="BV25" s="4" t="str">
        <f>AO25</f>
        <v>Total</v>
      </c>
    </row>
    <row r="26" spans="1:86" x14ac:dyDescent="0.55000000000000004">
      <c r="A26" t="s">
        <v>116</v>
      </c>
      <c r="B26" s="2">
        <f>'Non-Rebalanced Portfolio'!B26</f>
        <v>20000</v>
      </c>
      <c r="C26" s="2"/>
      <c r="D26" s="2">
        <f>'Non-Rebalanced Portfolio'!D26</f>
        <v>20000</v>
      </c>
      <c r="E26" s="2">
        <f>'Non-Rebalanced Portfolio'!E26</f>
        <v>10000</v>
      </c>
      <c r="F26" s="2"/>
      <c r="G26" s="2">
        <f>'Non-Rebalanced Portfolio'!G26</f>
        <v>20000</v>
      </c>
      <c r="H26" s="2">
        <f>'Non-Rebalanced Portfolio'!H26</f>
        <v>30000</v>
      </c>
      <c r="I26" s="2">
        <f>SUM(B26:H26)</f>
        <v>100000</v>
      </c>
      <c r="N26" s="19"/>
      <c r="R26" t="str">
        <f>A26</f>
        <v>Stating Balance</v>
      </c>
      <c r="S26" s="2">
        <f>B26</f>
        <v>20000</v>
      </c>
      <c r="T26" s="2">
        <f t="shared" si="1"/>
        <v>0</v>
      </c>
      <c r="U26" s="2">
        <f t="shared" si="1"/>
        <v>20000</v>
      </c>
      <c r="V26" s="2">
        <f t="shared" si="1"/>
        <v>10000</v>
      </c>
      <c r="W26" s="2">
        <f t="shared" si="1"/>
        <v>0</v>
      </c>
      <c r="X26" s="2">
        <f t="shared" si="1"/>
        <v>20000</v>
      </c>
      <c r="Y26" s="2">
        <f t="shared" si="1"/>
        <v>30000</v>
      </c>
      <c r="Z26" s="2">
        <f t="shared" si="1"/>
        <v>100000</v>
      </c>
      <c r="AD26" s="2"/>
      <c r="AE26" s="2"/>
      <c r="AG26" s="19" t="s">
        <v>49</v>
      </c>
      <c r="AH26" s="6">
        <f t="shared" ref="AH26:AM37" si="6">S26/$Z26</f>
        <v>0.2</v>
      </c>
      <c r="AI26" s="6"/>
      <c r="AJ26" s="6">
        <f t="shared" si="6"/>
        <v>0.2</v>
      </c>
      <c r="AK26" s="6">
        <f t="shared" si="6"/>
        <v>0.1</v>
      </c>
      <c r="AL26" s="6"/>
      <c r="AM26" s="6">
        <f t="shared" si="6"/>
        <v>0.2</v>
      </c>
      <c r="AN26" s="6">
        <f>Y26/$Z26</f>
        <v>0.3</v>
      </c>
      <c r="AO26" s="55">
        <f>SUM(AH26:AN26)</f>
        <v>1</v>
      </c>
      <c r="AP26" s="22"/>
      <c r="AS26" s="19" t="str">
        <f t="shared" ref="AS26" si="7">BN26</f>
        <v>Target Allocation</v>
      </c>
      <c r="AT26" s="22">
        <f>AH26</f>
        <v>0.2</v>
      </c>
      <c r="AU26" s="22"/>
      <c r="AV26" s="22">
        <f>AJ26</f>
        <v>0.2</v>
      </c>
      <c r="AW26" s="22">
        <f>AK26</f>
        <v>0.1</v>
      </c>
      <c r="AX26" s="22"/>
      <c r="AY26" s="22">
        <f>AM26</f>
        <v>0.2</v>
      </c>
      <c r="AZ26" s="22">
        <f>AN26</f>
        <v>0.3</v>
      </c>
      <c r="BA26" s="22">
        <f>AO26</f>
        <v>1</v>
      </c>
      <c r="BB26" s="2"/>
      <c r="BC26" s="2"/>
      <c r="BM26" s="22"/>
      <c r="BN26" s="19" t="str">
        <f t="shared" si="5"/>
        <v>Target Allocation</v>
      </c>
      <c r="BO26" s="22">
        <f t="shared" si="4"/>
        <v>0.2</v>
      </c>
      <c r="BP26" s="22">
        <f t="shared" si="4"/>
        <v>0</v>
      </c>
      <c r="BQ26" s="23">
        <f t="shared" si="4"/>
        <v>0.2</v>
      </c>
      <c r="BR26" s="23">
        <f t="shared" si="4"/>
        <v>0.1</v>
      </c>
      <c r="BS26" s="22">
        <f t="shared" si="4"/>
        <v>0</v>
      </c>
      <c r="BT26" s="23">
        <f t="shared" si="4"/>
        <v>0.2</v>
      </c>
      <c r="BU26" s="22">
        <f t="shared" si="4"/>
        <v>0.3</v>
      </c>
      <c r="BV26" s="22">
        <f>AO26</f>
        <v>1</v>
      </c>
    </row>
    <row r="27" spans="1:86" x14ac:dyDescent="0.55000000000000004">
      <c r="A27">
        <f t="shared" ref="A27:A41" si="8">A4</f>
        <v>2000</v>
      </c>
      <c r="B27" s="2">
        <f>B26*(1+(B4/100))</f>
        <v>18188</v>
      </c>
      <c r="C27" s="2"/>
      <c r="D27" s="2">
        <f>D26*(1+(D4/100))</f>
        <v>23619.599999999999</v>
      </c>
      <c r="E27" s="2">
        <f>E26*(1+(E4/100))</f>
        <v>9733.5</v>
      </c>
      <c r="F27" s="2"/>
      <c r="G27" s="2">
        <f>G26*(1+(G4/100))</f>
        <v>16877.2</v>
      </c>
      <c r="H27" s="2">
        <f>H26*(1+(H4/100))</f>
        <v>33417</v>
      </c>
      <c r="I27" s="2">
        <f>SUM(B27:H27)</f>
        <v>101835.3</v>
      </c>
      <c r="J27" s="2">
        <f>I27-I26</f>
        <v>1835.3000000000029</v>
      </c>
      <c r="K27" s="6">
        <f>(J27/I26)</f>
        <v>1.8353000000000029E-2</v>
      </c>
      <c r="L27" s="7">
        <f>K27+1</f>
        <v>1.0183530000000001</v>
      </c>
      <c r="N27">
        <f>A27</f>
        <v>2000</v>
      </c>
      <c r="O27" s="2">
        <f>I27*0.04</f>
        <v>4073.4120000000003</v>
      </c>
      <c r="P27" s="2"/>
      <c r="Q27" s="2"/>
      <c r="R27">
        <f>A27</f>
        <v>2000</v>
      </c>
      <c r="S27" s="2">
        <f t="shared" ref="S27:S38" si="9">B27-($O27/5)</f>
        <v>17373.317599999998</v>
      </c>
      <c r="T27" s="2"/>
      <c r="U27" s="2">
        <f t="shared" ref="U27:U38" si="10">D27-($O27/5)</f>
        <v>22804.917599999997</v>
      </c>
      <c r="V27" s="2">
        <f t="shared" ref="V27:V38" si="11">E27-($O27/5)</f>
        <v>8918.8176000000003</v>
      </c>
      <c r="W27" s="2"/>
      <c r="X27" s="2">
        <f t="shared" ref="X27:X38" si="12">G27-($O27/5)</f>
        <v>16062.517600000001</v>
      </c>
      <c r="Y27" s="2">
        <f t="shared" ref="Y27:Y38" si="13">H27-($O27/5)</f>
        <v>32602.317599999998</v>
      </c>
      <c r="Z27" s="2">
        <f>SUM(S27:Y27)</f>
        <v>97761.887999999992</v>
      </c>
      <c r="AA27" s="2">
        <f>Z27-Z26</f>
        <v>-2238.1120000000083</v>
      </c>
      <c r="AB27" s="6">
        <f>(AA27/Z26)</f>
        <v>-2.2381120000000084E-2</v>
      </c>
      <c r="AC27" s="7">
        <f>AB27+1</f>
        <v>0.97761887999999997</v>
      </c>
      <c r="AD27" s="2">
        <f>Z27-(I27-O27)</f>
        <v>0</v>
      </c>
      <c r="AE27" s="2"/>
      <c r="AG27">
        <f t="shared" ref="AG27:AG39" si="14">A27</f>
        <v>2000</v>
      </c>
      <c r="AH27" s="6">
        <f t="shared" si="6"/>
        <v>0.17771053685051583</v>
      </c>
      <c r="AI27" s="6"/>
      <c r="AJ27" s="6">
        <f t="shared" si="6"/>
        <v>0.23327002031711988</v>
      </c>
      <c r="AK27" s="6">
        <f t="shared" si="6"/>
        <v>9.1230005705290815E-2</v>
      </c>
      <c r="AL27" s="6"/>
      <c r="AM27" s="6">
        <f t="shared" si="6"/>
        <v>0.16430244882341064</v>
      </c>
      <c r="AN27" s="6">
        <f t="shared" ref="AN27:AN39" si="15">Y27/$Z27</f>
        <v>0.33348698830366291</v>
      </c>
      <c r="AO27" s="55">
        <f t="shared" ref="AO27:AO39" si="16">SUM(AH27:AN27)</f>
        <v>1</v>
      </c>
      <c r="AP27" s="7">
        <f>SUM(AH27:AM27)</f>
        <v>0.66651301169633714</v>
      </c>
      <c r="AQ27" s="7">
        <f>AO27-(AP27+AN27)</f>
        <v>0</v>
      </c>
      <c r="AS27">
        <f>A27</f>
        <v>2000</v>
      </c>
      <c r="AT27" s="2">
        <f>S27</f>
        <v>17373.317599999998</v>
      </c>
      <c r="AU27" s="2"/>
      <c r="AV27" s="2">
        <f>U27</f>
        <v>22804.917599999997</v>
      </c>
      <c r="AW27" s="2">
        <f>V27</f>
        <v>8918.8176000000003</v>
      </c>
      <c r="AX27" s="2"/>
      <c r="AY27" s="2">
        <f>X27</f>
        <v>16062.517600000001</v>
      </c>
      <c r="AZ27" s="2">
        <f>Y27</f>
        <v>32602.317599999998</v>
      </c>
      <c r="BA27" s="2">
        <f t="shared" ref="BA27:BA39" si="17">Z27</f>
        <v>97761.887999999992</v>
      </c>
      <c r="BB27" s="2">
        <f t="shared" ref="BB27:BB39" si="18">SUM(AT27:AZ27)-Z27</f>
        <v>0</v>
      </c>
      <c r="BC27" s="2"/>
      <c r="BM27" s="22"/>
      <c r="BN27">
        <f t="shared" si="5"/>
        <v>2000</v>
      </c>
      <c r="BO27" s="1" t="b">
        <f>AND((S27/$Z27)&gt;0.15,(S27/$Z27)&lt;0.25)</f>
        <v>1</v>
      </c>
      <c r="BP27" s="1" t="b">
        <f>AND((T27/$Z27)&gt;0.25,(T27/$Z27)&lt;0.35)</f>
        <v>0</v>
      </c>
      <c r="BS27" s="1" t="b">
        <f t="shared" ref="BS27:BS35" si="19">AND((W27/$Z27)&gt;0.15,(W27/$Z27)&lt;0.25)</f>
        <v>0</v>
      </c>
      <c r="BU27" s="1" t="b">
        <f>AND((Y27/$Z27)&gt;0.25,(Y27/$Z27)&lt;0.35)</f>
        <v>1</v>
      </c>
      <c r="BV27" s="1" t="b">
        <f>AND((Z27/$Z27)&gt;0.999,(Z27/$Z27)&lt;1.01)</f>
        <v>1</v>
      </c>
      <c r="CH27" s="2"/>
    </row>
    <row r="28" spans="1:86" x14ac:dyDescent="0.55000000000000004">
      <c r="A28">
        <f t="shared" si="8"/>
        <v>2001</v>
      </c>
      <c r="B28" s="2">
        <f>AT27*(1+(B5/100))</f>
        <v>15285.044824479999</v>
      </c>
      <c r="C28" s="2"/>
      <c r="D28" s="2">
        <f t="shared" ref="D28:E31" si="20">AV27*(1+(D5/100))</f>
        <v>22691.121061175996</v>
      </c>
      <c r="E28" s="2">
        <f t="shared" si="20"/>
        <v>9195.3009456</v>
      </c>
      <c r="F28" s="2"/>
      <c r="G28" s="2">
        <f t="shared" ref="G28:H31" si="21">AY27*(1+(G5/100))</f>
        <v>12825.438428072001</v>
      </c>
      <c r="H28" s="2">
        <f t="shared" si="21"/>
        <v>35350.692973680001</v>
      </c>
      <c r="I28" s="2">
        <f>SUM(B28:H28)</f>
        <v>95347.598233008001</v>
      </c>
      <c r="J28" s="2">
        <f t="shared" ref="J28:J39" si="22">I28-I27</f>
        <v>-6487.7017669920024</v>
      </c>
      <c r="K28" s="6">
        <f t="shared" ref="K28:K39" si="23">(J28/I27)</f>
        <v>-6.3707788625280259E-2</v>
      </c>
      <c r="L28" s="7">
        <f t="shared" ref="L28:L39" si="24">K28+1</f>
        <v>0.93629221137471974</v>
      </c>
      <c r="N28">
        <f t="shared" ref="N28:N39" si="25">A28</f>
        <v>2001</v>
      </c>
      <c r="O28" s="2">
        <f t="shared" ref="O28:O41" si="26">O27*(1+O5)</f>
        <v>4138.5865920000006</v>
      </c>
      <c r="P28" s="2"/>
      <c r="Q28" s="2"/>
      <c r="R28">
        <f t="shared" ref="R28:R39" si="27">A28</f>
        <v>2001</v>
      </c>
      <c r="S28" s="2">
        <f t="shared" si="9"/>
        <v>14457.327506079999</v>
      </c>
      <c r="T28" s="2"/>
      <c r="U28" s="2">
        <f t="shared" si="10"/>
        <v>21863.403742775998</v>
      </c>
      <c r="V28" s="2">
        <f t="shared" si="11"/>
        <v>8367.5836271999997</v>
      </c>
      <c r="W28" s="2"/>
      <c r="X28" s="2">
        <f t="shared" si="12"/>
        <v>11997.721109672</v>
      </c>
      <c r="Y28" s="2">
        <f t="shared" si="13"/>
        <v>34522.975655280003</v>
      </c>
      <c r="Z28" s="2">
        <f>SUM(S28:Y28)</f>
        <v>91209.011641007994</v>
      </c>
      <c r="AA28" s="2">
        <f t="shared" ref="AA28:AA39" si="28">Z28-Z27</f>
        <v>-6552.8763589919981</v>
      </c>
      <c r="AB28" s="6">
        <f t="shared" ref="AB28:AB39" si="29">(AA28/Z27)</f>
        <v>-6.7028946484666896E-2</v>
      </c>
      <c r="AC28" s="7">
        <f t="shared" ref="AC28:AC39" si="30">AB28+1</f>
        <v>0.93297105351533305</v>
      </c>
      <c r="AD28" s="2">
        <f>Z28-(I28-O28)</f>
        <v>0</v>
      </c>
      <c r="AE28" s="2"/>
      <c r="AG28">
        <f t="shared" si="14"/>
        <v>2001</v>
      </c>
      <c r="AH28" s="6">
        <f t="shared" si="6"/>
        <v>0.1585076654813779</v>
      </c>
      <c r="AI28" s="6"/>
      <c r="AJ28" s="6">
        <f t="shared" si="6"/>
        <v>0.23970661834193269</v>
      </c>
      <c r="AK28" s="6">
        <f t="shared" si="6"/>
        <v>9.174075539963307E-2</v>
      </c>
      <c r="AL28" s="6"/>
      <c r="AM28" s="6">
        <f t="shared" si="6"/>
        <v>0.13154096172968252</v>
      </c>
      <c r="AN28" s="6">
        <f t="shared" si="15"/>
        <v>0.37850399904737386</v>
      </c>
      <c r="AO28" s="55">
        <f t="shared" si="16"/>
        <v>1</v>
      </c>
      <c r="AP28" s="7">
        <f t="shared" ref="AP28:AP39" si="31">SUM(AH28:AM28)</f>
        <v>0.62149600095262614</v>
      </c>
      <c r="AQ28" s="7">
        <f t="shared" ref="AQ28:AQ39" si="32">AO28-(AP28+AN28)</f>
        <v>0</v>
      </c>
      <c r="AS28">
        <f t="shared" ref="AS28:AS41" si="33">A28</f>
        <v>2001</v>
      </c>
      <c r="AT28" s="2">
        <f>S28</f>
        <v>14457.327506079999</v>
      </c>
      <c r="AU28" s="2"/>
      <c r="AV28" s="2">
        <f>U28</f>
        <v>21863.403742775998</v>
      </c>
      <c r="AW28" s="2">
        <f>V28</f>
        <v>8367.5836271999997</v>
      </c>
      <c r="AX28" s="2"/>
      <c r="AY28" s="2">
        <f>X28</f>
        <v>11997.721109672</v>
      </c>
      <c r="AZ28" s="2">
        <f>Y28</f>
        <v>34522.975655280003</v>
      </c>
      <c r="BA28" s="2">
        <f t="shared" si="17"/>
        <v>91209.011641007994</v>
      </c>
      <c r="BB28" s="2">
        <f t="shared" si="18"/>
        <v>0</v>
      </c>
      <c r="BC28" s="2"/>
      <c r="BM28" s="22"/>
      <c r="BN28">
        <f t="shared" si="5"/>
        <v>2001</v>
      </c>
      <c r="BO28" s="1" t="b">
        <f t="shared" ref="BO28:BO41" si="34">AND((S28/$Z28)&gt;0.15,(S28/$Z28)&lt;0.25)</f>
        <v>1</v>
      </c>
      <c r="BP28" s="1" t="b">
        <f t="shared" ref="BP28:BP37" si="35">AND((T28/$Z28)&gt;0.25,(T28/$Z28)&lt;0.35)</f>
        <v>0</v>
      </c>
      <c r="BS28" s="1" t="b">
        <f t="shared" si="19"/>
        <v>0</v>
      </c>
      <c r="BU28" s="1" t="b">
        <f t="shared" ref="BU28:BU41" si="36">AND((Y28/$Z28)&gt;0.25,(Y28/$Z28)&lt;0.35)</f>
        <v>0</v>
      </c>
      <c r="BV28" s="1" t="b">
        <f t="shared" ref="BV28:BV41" si="37">AND((Z28/$Z28)&gt;0.999,(Z28/$Z28)&lt;1.01)</f>
        <v>1</v>
      </c>
      <c r="CH28" s="2"/>
    </row>
    <row r="29" spans="1:86" x14ac:dyDescent="0.55000000000000004">
      <c r="A29">
        <f t="shared" si="8"/>
        <v>2002</v>
      </c>
      <c r="B29" s="2">
        <f>AT28*(1+(B6/100))</f>
        <v>11255.029463483279</v>
      </c>
      <c r="C29" s="2"/>
      <c r="D29" s="2">
        <f t="shared" si="20"/>
        <v>18669.597724031279</v>
      </c>
      <c r="E29" s="2">
        <f t="shared" si="20"/>
        <v>6692.2260333620161</v>
      </c>
      <c r="F29" s="2"/>
      <c r="G29" s="2">
        <f t="shared" si="21"/>
        <v>10188.104834700172</v>
      </c>
      <c r="H29" s="2">
        <f t="shared" si="21"/>
        <v>37374.573444406131</v>
      </c>
      <c r="I29" s="2">
        <f t="shared" ref="I29:I39" si="38">SUM(B29:H29)</f>
        <v>84179.53149998287</v>
      </c>
      <c r="J29" s="2">
        <f t="shared" si="22"/>
        <v>-11168.066733025131</v>
      </c>
      <c r="K29" s="6">
        <f t="shared" si="23"/>
        <v>-0.11713002676515141</v>
      </c>
      <c r="L29" s="7">
        <f t="shared" si="24"/>
        <v>0.88286997323484862</v>
      </c>
      <c r="N29">
        <f t="shared" si="25"/>
        <v>2002</v>
      </c>
      <c r="O29" s="2">
        <f t="shared" si="26"/>
        <v>4242.0512568000004</v>
      </c>
      <c r="P29" s="2"/>
      <c r="Q29" s="2"/>
      <c r="R29">
        <f t="shared" si="27"/>
        <v>2002</v>
      </c>
      <c r="S29" s="2">
        <f t="shared" si="9"/>
        <v>10406.619212123278</v>
      </c>
      <c r="T29" s="2"/>
      <c r="U29" s="2">
        <f t="shared" si="10"/>
        <v>17821.187472671278</v>
      </c>
      <c r="V29" s="2">
        <f t="shared" si="11"/>
        <v>5843.815782002016</v>
      </c>
      <c r="W29" s="2"/>
      <c r="X29" s="2">
        <f t="shared" si="12"/>
        <v>9339.6945833401733</v>
      </c>
      <c r="Y29" s="2">
        <f t="shared" si="13"/>
        <v>36526.16319304613</v>
      </c>
      <c r="Z29" s="2">
        <f t="shared" ref="Z29:Z39" si="39">SUM(S29:Y29)</f>
        <v>79937.480243182872</v>
      </c>
      <c r="AA29" s="2">
        <f t="shared" si="28"/>
        <v>-11271.531397825122</v>
      </c>
      <c r="AB29" s="6">
        <f t="shared" si="29"/>
        <v>-0.12357914196229913</v>
      </c>
      <c r="AC29" s="7">
        <f t="shared" si="30"/>
        <v>0.87642085803770087</v>
      </c>
      <c r="AD29" s="2">
        <f t="shared" ref="AD29:AD39" si="40">Z29-(I29-O29)</f>
        <v>0</v>
      </c>
      <c r="AE29" s="2"/>
      <c r="AG29">
        <f t="shared" si="14"/>
        <v>2002</v>
      </c>
      <c r="AH29" s="6">
        <f t="shared" si="6"/>
        <v>0.13018447892608878</v>
      </c>
      <c r="AI29" s="6"/>
      <c r="AJ29" s="6">
        <f t="shared" si="6"/>
        <v>0.22293906961360696</v>
      </c>
      <c r="AK29" s="6">
        <f t="shared" si="6"/>
        <v>7.3104828476256364E-2</v>
      </c>
      <c r="AL29" s="6"/>
      <c r="AM29" s="6">
        <f t="shared" si="6"/>
        <v>0.11683749043536645</v>
      </c>
      <c r="AN29" s="6">
        <f t="shared" si="15"/>
        <v>0.45693413254868148</v>
      </c>
      <c r="AO29" s="55">
        <f t="shared" si="16"/>
        <v>1</v>
      </c>
      <c r="AP29" s="7">
        <f t="shared" si="31"/>
        <v>0.54306586745131857</v>
      </c>
      <c r="AQ29" s="7">
        <f t="shared" si="32"/>
        <v>0</v>
      </c>
      <c r="AS29">
        <f t="shared" si="33"/>
        <v>2002</v>
      </c>
      <c r="AT29" s="36">
        <v>0</v>
      </c>
      <c r="AU29" s="36"/>
      <c r="AV29" s="36">
        <v>0</v>
      </c>
      <c r="AW29" s="36">
        <v>0</v>
      </c>
      <c r="AX29" s="36"/>
      <c r="AY29" s="36">
        <v>0</v>
      </c>
      <c r="AZ29" s="36">
        <f>Z29</f>
        <v>79937.480243182872</v>
      </c>
      <c r="BA29" s="2">
        <f t="shared" si="17"/>
        <v>79937.480243182872</v>
      </c>
      <c r="BB29" s="2">
        <f t="shared" si="18"/>
        <v>0</v>
      </c>
      <c r="BC29" s="2"/>
      <c r="BM29" s="22"/>
      <c r="BN29">
        <f t="shared" si="5"/>
        <v>2002</v>
      </c>
      <c r="BO29" s="1" t="b">
        <f t="shared" si="34"/>
        <v>0</v>
      </c>
      <c r="BP29" s="1" t="b">
        <f t="shared" si="35"/>
        <v>0</v>
      </c>
      <c r="BS29" s="1" t="b">
        <f t="shared" si="19"/>
        <v>0</v>
      </c>
      <c r="BU29" s="1" t="b">
        <f t="shared" si="36"/>
        <v>0</v>
      </c>
      <c r="BV29" s="1" t="b">
        <f t="shared" si="37"/>
        <v>1</v>
      </c>
      <c r="CH29" s="2"/>
    </row>
    <row r="30" spans="1:86" x14ac:dyDescent="0.55000000000000004">
      <c r="A30">
        <f t="shared" si="8"/>
        <v>2003</v>
      </c>
      <c r="B30" s="2">
        <f>AT29*(1+(B7/100))</f>
        <v>0</v>
      </c>
      <c r="C30" s="2"/>
      <c r="D30" s="2">
        <f t="shared" si="20"/>
        <v>0</v>
      </c>
      <c r="E30" s="2">
        <f t="shared" si="20"/>
        <v>0</v>
      </c>
      <c r="F30" s="2"/>
      <c r="G30" s="2">
        <f t="shared" si="21"/>
        <v>0</v>
      </c>
      <c r="H30" s="2">
        <f t="shared" si="21"/>
        <v>83110.998208837234</v>
      </c>
      <c r="I30" s="2">
        <f t="shared" si="38"/>
        <v>83110.998208837234</v>
      </c>
      <c r="J30" s="2">
        <f t="shared" si="22"/>
        <v>-1068.5332911456353</v>
      </c>
      <c r="K30" s="6">
        <f t="shared" si="23"/>
        <v>-1.2693504847385052E-2</v>
      </c>
      <c r="L30" s="7">
        <f t="shared" si="24"/>
        <v>0.98730649515261493</v>
      </c>
      <c r="N30">
        <f t="shared" si="25"/>
        <v>2003</v>
      </c>
      <c r="O30" s="2">
        <f t="shared" si="26"/>
        <v>4326.8922819360005</v>
      </c>
      <c r="P30" s="2"/>
      <c r="Q30" s="2"/>
      <c r="R30">
        <f t="shared" si="27"/>
        <v>2003</v>
      </c>
      <c r="S30" s="36">
        <v>0</v>
      </c>
      <c r="T30" s="36"/>
      <c r="U30" s="36">
        <v>0</v>
      </c>
      <c r="V30" s="36">
        <v>0</v>
      </c>
      <c r="W30" s="36"/>
      <c r="X30" s="36">
        <v>0</v>
      </c>
      <c r="Y30" s="36">
        <f>H30-($O30/1)</f>
        <v>78784.105926901233</v>
      </c>
      <c r="Z30" s="2">
        <f t="shared" si="39"/>
        <v>78784.105926901233</v>
      </c>
      <c r="AA30" s="2">
        <f t="shared" si="28"/>
        <v>-1153.374316281639</v>
      </c>
      <c r="AB30" s="6">
        <f t="shared" si="29"/>
        <v>-1.4428454747045891E-2</v>
      </c>
      <c r="AC30" s="7">
        <f t="shared" si="30"/>
        <v>0.9855715452529541</v>
      </c>
      <c r="AD30" s="2">
        <f t="shared" si="40"/>
        <v>0</v>
      </c>
      <c r="AE30" s="2"/>
      <c r="AG30">
        <f t="shared" si="14"/>
        <v>2003</v>
      </c>
      <c r="AH30" s="6">
        <f t="shared" si="6"/>
        <v>0</v>
      </c>
      <c r="AI30" s="6"/>
      <c r="AJ30" s="6">
        <f t="shared" si="6"/>
        <v>0</v>
      </c>
      <c r="AK30" s="6">
        <f t="shared" si="6"/>
        <v>0</v>
      </c>
      <c r="AL30" s="6"/>
      <c r="AM30" s="6">
        <f t="shared" si="6"/>
        <v>0</v>
      </c>
      <c r="AN30" s="6">
        <f t="shared" si="15"/>
        <v>1</v>
      </c>
      <c r="AO30" s="55">
        <f t="shared" si="16"/>
        <v>1</v>
      </c>
      <c r="AP30" s="7">
        <f t="shared" si="31"/>
        <v>0</v>
      </c>
      <c r="AQ30" s="7">
        <f t="shared" si="32"/>
        <v>0</v>
      </c>
      <c r="AS30">
        <f t="shared" si="33"/>
        <v>2003</v>
      </c>
      <c r="AT30" s="24">
        <f>$Z30*AT$26</f>
        <v>15756.821185380248</v>
      </c>
      <c r="AU30" s="24"/>
      <c r="AV30" s="24">
        <f>$Z30*AV$26</f>
        <v>15756.821185380248</v>
      </c>
      <c r="AW30" s="24">
        <f>$Z30*AW$26</f>
        <v>7878.4105926901238</v>
      </c>
      <c r="AX30" s="24"/>
      <c r="AY30" s="24">
        <f>$Z30*AY$26</f>
        <v>15756.821185380248</v>
      </c>
      <c r="AZ30" s="24">
        <f>$Z30*AZ$26</f>
        <v>23635.231778070371</v>
      </c>
      <c r="BA30" s="2">
        <f t="shared" si="17"/>
        <v>78784.105926901233</v>
      </c>
      <c r="BB30" s="2">
        <f t="shared" si="18"/>
        <v>0</v>
      </c>
      <c r="BC30" s="2"/>
      <c r="BM30" s="22"/>
      <c r="BN30">
        <f t="shared" si="5"/>
        <v>2003</v>
      </c>
      <c r="BO30" s="1" t="b">
        <f t="shared" si="34"/>
        <v>0</v>
      </c>
      <c r="BP30" s="1" t="b">
        <f t="shared" si="35"/>
        <v>0</v>
      </c>
      <c r="BS30" s="1" t="b">
        <f t="shared" si="19"/>
        <v>0</v>
      </c>
      <c r="BU30" s="1" t="b">
        <f t="shared" si="36"/>
        <v>0</v>
      </c>
      <c r="BV30" s="1" t="b">
        <f t="shared" si="37"/>
        <v>1</v>
      </c>
      <c r="CH30" s="2"/>
    </row>
    <row r="31" spans="1:86" x14ac:dyDescent="0.55000000000000004">
      <c r="A31">
        <f t="shared" si="8"/>
        <v>2004</v>
      </c>
      <c r="B31" s="2">
        <f>AT30*(1+(B8/100))</f>
        <v>17449.103780690086</v>
      </c>
      <c r="C31" s="2"/>
      <c r="D31" s="2">
        <f t="shared" si="20"/>
        <v>18963.80700124069</v>
      </c>
      <c r="E31" s="2">
        <f t="shared" si="20"/>
        <v>9445.977948317679</v>
      </c>
      <c r="F31" s="2"/>
      <c r="G31" s="2">
        <f t="shared" si="21"/>
        <v>19040.070015777928</v>
      </c>
      <c r="H31" s="2">
        <f t="shared" si="21"/>
        <v>24637.365605460553</v>
      </c>
      <c r="I31" s="2">
        <f t="shared" si="38"/>
        <v>89536.324351486925</v>
      </c>
      <c r="J31" s="2">
        <f t="shared" si="22"/>
        <v>6425.3261426496902</v>
      </c>
      <c r="K31" s="6">
        <f t="shared" si="23"/>
        <v>7.7310178930885251E-2</v>
      </c>
      <c r="L31" s="7">
        <f t="shared" si="24"/>
        <v>1.0773101789308852</v>
      </c>
      <c r="N31">
        <f t="shared" si="25"/>
        <v>2004</v>
      </c>
      <c r="O31" s="2">
        <f t="shared" si="26"/>
        <v>4469.6797272398881</v>
      </c>
      <c r="P31" s="2"/>
      <c r="Q31" s="2"/>
      <c r="R31">
        <f t="shared" si="27"/>
        <v>2004</v>
      </c>
      <c r="S31" s="2">
        <f t="shared" ref="S31" si="41">B31-($O31/5)</f>
        <v>16555.167835242108</v>
      </c>
      <c r="T31" s="2"/>
      <c r="U31" s="2">
        <f t="shared" ref="U31" si="42">D31-($O31/5)</f>
        <v>18069.871055792712</v>
      </c>
      <c r="V31" s="2">
        <f t="shared" ref="V31" si="43">E31-($O31/5)</f>
        <v>8552.0420028697008</v>
      </c>
      <c r="W31" s="2"/>
      <c r="X31" s="2">
        <f t="shared" ref="X31" si="44">G31-($O31/5)</f>
        <v>18146.13407032995</v>
      </c>
      <c r="Y31" s="2">
        <f t="shared" si="13"/>
        <v>23743.429660012574</v>
      </c>
      <c r="Z31" s="2">
        <f t="shared" si="39"/>
        <v>85066.644624247041</v>
      </c>
      <c r="AA31" s="2">
        <f t="shared" si="28"/>
        <v>6282.538697345808</v>
      </c>
      <c r="AB31" s="6">
        <f t="shared" si="29"/>
        <v>7.9743732868847644E-2</v>
      </c>
      <c r="AC31" s="7">
        <f t="shared" si="30"/>
        <v>1.0797437328688477</v>
      </c>
      <c r="AD31" s="2">
        <f t="shared" si="40"/>
        <v>0</v>
      </c>
      <c r="AE31" s="2"/>
      <c r="AG31">
        <f t="shared" si="14"/>
        <v>2004</v>
      </c>
      <c r="AH31" s="6">
        <f t="shared" si="6"/>
        <v>0.19461409237861596</v>
      </c>
      <c r="AI31" s="56"/>
      <c r="AJ31" s="6">
        <f t="shared" si="6"/>
        <v>0.21242016933441091</v>
      </c>
      <c r="AK31" s="6">
        <f t="shared" si="6"/>
        <v>0.1005334351748025</v>
      </c>
      <c r="AL31" s="56"/>
      <c r="AM31" s="6">
        <f t="shared" si="6"/>
        <v>0.21331667835829571</v>
      </c>
      <c r="AN31" s="6">
        <f t="shared" si="15"/>
        <v>0.27911562475387497</v>
      </c>
      <c r="AO31" s="55">
        <f t="shared" si="16"/>
        <v>1</v>
      </c>
      <c r="AP31" s="7">
        <f t="shared" si="31"/>
        <v>0.72088437524612503</v>
      </c>
      <c r="AQ31" s="7">
        <f t="shared" si="32"/>
        <v>0</v>
      </c>
      <c r="AS31">
        <f t="shared" si="33"/>
        <v>2004</v>
      </c>
      <c r="AT31" s="2">
        <f t="shared" ref="AT31" si="45">S31</f>
        <v>16555.167835242108</v>
      </c>
      <c r="AU31" s="2"/>
      <c r="AV31" s="2">
        <f t="shared" ref="AV31" si="46">U31</f>
        <v>18069.871055792712</v>
      </c>
      <c r="AW31" s="2">
        <f t="shared" ref="AW31" si="47">V31</f>
        <v>8552.0420028697008</v>
      </c>
      <c r="AX31" s="2"/>
      <c r="AY31" s="2">
        <f t="shared" ref="AY31" si="48">X31</f>
        <v>18146.13407032995</v>
      </c>
      <c r="AZ31" s="2">
        <f t="shared" ref="AZ31" si="49">Y31</f>
        <v>23743.429660012574</v>
      </c>
      <c r="BA31" s="2">
        <f t="shared" si="17"/>
        <v>85066.644624247041</v>
      </c>
      <c r="BB31" s="2">
        <f t="shared" si="18"/>
        <v>0</v>
      </c>
      <c r="BC31" s="2"/>
      <c r="BM31" s="22"/>
      <c r="BN31">
        <f t="shared" si="5"/>
        <v>2004</v>
      </c>
      <c r="BO31" s="1" t="b">
        <f t="shared" si="34"/>
        <v>1</v>
      </c>
      <c r="BP31" s="25" t="b">
        <f t="shared" si="35"/>
        <v>0</v>
      </c>
      <c r="BS31" s="25" t="b">
        <f t="shared" si="19"/>
        <v>0</v>
      </c>
      <c r="BU31" s="1" t="b">
        <f t="shared" si="36"/>
        <v>1</v>
      </c>
      <c r="BV31" s="1" t="b">
        <f t="shared" si="37"/>
        <v>1</v>
      </c>
      <c r="CH31" s="2"/>
    </row>
    <row r="32" spans="1:86" x14ac:dyDescent="0.55000000000000004">
      <c r="A32">
        <f t="shared" si="8"/>
        <v>2005</v>
      </c>
      <c r="B32" s="2">
        <f t="shared" ref="B32" si="50">AT31*(1+(B9/100))</f>
        <v>17344.849340983157</v>
      </c>
      <c r="C32" s="2"/>
      <c r="D32" s="2">
        <f t="shared" ref="D32" si="51">AV31*(1+(D9/100))</f>
        <v>20587.184792575194</v>
      </c>
      <c r="E32" s="2">
        <f t="shared" ref="E32" si="52">AW31*(1+(E9/100))</f>
        <v>9181.7288555409978</v>
      </c>
      <c r="F32" s="2"/>
      <c r="G32" s="2">
        <f t="shared" ref="G32" si="53">AY31*(1+(G9/100))</f>
        <v>20971.668606421026</v>
      </c>
      <c r="H32" s="2">
        <f t="shared" ref="H32" si="54">AZ31*(1+(H9/100))</f>
        <v>24313.271971852875</v>
      </c>
      <c r="I32" s="2">
        <f t="shared" si="38"/>
        <v>92398.703567373246</v>
      </c>
      <c r="J32" s="2">
        <f t="shared" si="22"/>
        <v>2862.3792158863216</v>
      </c>
      <c r="K32" s="6">
        <f t="shared" si="23"/>
        <v>3.1968915818452251E-2</v>
      </c>
      <c r="L32" s="7">
        <f t="shared" si="24"/>
        <v>1.0319689158184522</v>
      </c>
      <c r="N32">
        <f t="shared" si="25"/>
        <v>2005</v>
      </c>
      <c r="O32" s="2">
        <f t="shared" si="26"/>
        <v>4617.1791582388041</v>
      </c>
      <c r="P32" s="2"/>
      <c r="Q32" s="2"/>
      <c r="R32">
        <f t="shared" si="27"/>
        <v>2005</v>
      </c>
      <c r="S32" s="2">
        <f t="shared" si="9"/>
        <v>16421.413509335398</v>
      </c>
      <c r="T32" s="2"/>
      <c r="U32" s="2">
        <f t="shared" si="10"/>
        <v>19663.748960927434</v>
      </c>
      <c r="V32" s="2">
        <f t="shared" si="11"/>
        <v>8258.2930238932368</v>
      </c>
      <c r="W32" s="2"/>
      <c r="X32" s="2">
        <f t="shared" si="12"/>
        <v>20048.232774773267</v>
      </c>
      <c r="Y32" s="2">
        <f t="shared" si="13"/>
        <v>23389.836140205116</v>
      </c>
      <c r="Z32" s="2">
        <f t="shared" si="39"/>
        <v>87781.524409134465</v>
      </c>
      <c r="AA32" s="2">
        <f t="shared" si="28"/>
        <v>2714.8797848874237</v>
      </c>
      <c r="AB32" s="6">
        <f t="shared" si="29"/>
        <v>3.1914739283293483E-2</v>
      </c>
      <c r="AC32" s="7">
        <f t="shared" si="30"/>
        <v>1.0319147392832935</v>
      </c>
      <c r="AD32" s="2">
        <f t="shared" si="40"/>
        <v>0</v>
      </c>
      <c r="AE32" s="2"/>
      <c r="AG32">
        <f t="shared" si="14"/>
        <v>2005</v>
      </c>
      <c r="AH32" s="6">
        <f t="shared" si="6"/>
        <v>0.18707140961460222</v>
      </c>
      <c r="AI32" s="6"/>
      <c r="AJ32" s="6">
        <f t="shared" si="6"/>
        <v>0.2240078318676503</v>
      </c>
      <c r="AK32" s="6">
        <f t="shared" si="6"/>
        <v>9.407780372328424E-2</v>
      </c>
      <c r="AL32" s="6"/>
      <c r="AM32" s="6">
        <f t="shared" si="6"/>
        <v>0.22838784026274059</v>
      </c>
      <c r="AN32" s="6">
        <f t="shared" si="15"/>
        <v>0.26645511453172249</v>
      </c>
      <c r="AO32" s="55">
        <f t="shared" si="16"/>
        <v>0.99999999999999978</v>
      </c>
      <c r="AP32" s="7">
        <f t="shared" si="31"/>
        <v>0.73354488546827734</v>
      </c>
      <c r="AQ32" s="7">
        <f t="shared" si="32"/>
        <v>0</v>
      </c>
      <c r="AS32">
        <f t="shared" si="33"/>
        <v>2005</v>
      </c>
      <c r="AT32" s="2">
        <f>S32</f>
        <v>16421.413509335398</v>
      </c>
      <c r="AU32" s="2"/>
      <c r="AV32" s="2">
        <f t="shared" ref="AV32:AW34" si="55">U32</f>
        <v>19663.748960927434</v>
      </c>
      <c r="AW32" s="2">
        <f t="shared" si="55"/>
        <v>8258.2930238932368</v>
      </c>
      <c r="AX32" s="2"/>
      <c r="AY32" s="2">
        <f t="shared" ref="AY32:AZ34" si="56">X32</f>
        <v>20048.232774773267</v>
      </c>
      <c r="AZ32" s="2">
        <f t="shared" si="56"/>
        <v>23389.836140205116</v>
      </c>
      <c r="BA32" s="2">
        <f t="shared" si="17"/>
        <v>87781.524409134465</v>
      </c>
      <c r="BB32" s="2">
        <f t="shared" si="18"/>
        <v>0</v>
      </c>
      <c r="BC32" s="2"/>
      <c r="BM32" s="22"/>
      <c r="BN32">
        <f t="shared" si="5"/>
        <v>2005</v>
      </c>
      <c r="BO32" s="1" t="b">
        <f t="shared" si="34"/>
        <v>1</v>
      </c>
      <c r="BP32" s="1" t="b">
        <f t="shared" si="35"/>
        <v>0</v>
      </c>
      <c r="BS32" s="1" t="b">
        <f t="shared" si="19"/>
        <v>0</v>
      </c>
      <c r="BU32" s="1" t="b">
        <f t="shared" si="36"/>
        <v>1</v>
      </c>
      <c r="BV32" s="1" t="b">
        <f t="shared" si="37"/>
        <v>1</v>
      </c>
      <c r="CH32" s="2"/>
    </row>
    <row r="33" spans="1:86" x14ac:dyDescent="0.55000000000000004">
      <c r="A33">
        <f t="shared" si="8"/>
        <v>2006</v>
      </c>
      <c r="B33" s="2">
        <f t="shared" ref="B33:B41" si="57">AT32*(1+(B10/100))</f>
        <v>18989.722582195456</v>
      </c>
      <c r="C33" s="2"/>
      <c r="D33" s="2">
        <f t="shared" ref="D33:E39" si="58">AV32*(1+(D10/100))</f>
        <v>22337.428907144735</v>
      </c>
      <c r="E33" s="2">
        <f t="shared" si="58"/>
        <v>9551.2113797139627</v>
      </c>
      <c r="F33" s="2"/>
      <c r="G33" s="2">
        <f t="shared" ref="G33:H39" si="59">AY32*(1+(G10/100))</f>
        <v>25388.480538989621</v>
      </c>
      <c r="H33" s="2">
        <f t="shared" si="59"/>
        <v>24388.582143391872</v>
      </c>
      <c r="I33" s="2">
        <f t="shared" si="38"/>
        <v>100655.42555143565</v>
      </c>
      <c r="J33" s="2">
        <f t="shared" si="22"/>
        <v>8256.721984062402</v>
      </c>
      <c r="K33" s="6">
        <f t="shared" si="23"/>
        <v>8.9359716806437089E-2</v>
      </c>
      <c r="L33" s="7">
        <f t="shared" si="24"/>
        <v>1.0893597168064371</v>
      </c>
      <c r="N33">
        <f t="shared" si="25"/>
        <v>2006</v>
      </c>
      <c r="O33" s="2">
        <f t="shared" si="26"/>
        <v>4732.608637194774</v>
      </c>
      <c r="P33" s="2"/>
      <c r="Q33" s="2"/>
      <c r="R33">
        <f t="shared" si="27"/>
        <v>2006</v>
      </c>
      <c r="S33" s="2">
        <f t="shared" si="9"/>
        <v>18043.200854756502</v>
      </c>
      <c r="T33" s="2"/>
      <c r="U33" s="2">
        <f t="shared" si="10"/>
        <v>21390.90717970578</v>
      </c>
      <c r="V33" s="2">
        <f t="shared" si="11"/>
        <v>8604.6896522750085</v>
      </c>
      <c r="W33" s="2"/>
      <c r="X33" s="2">
        <f t="shared" si="12"/>
        <v>24441.958811550667</v>
      </c>
      <c r="Y33" s="2">
        <f t="shared" si="13"/>
        <v>23442.060415952918</v>
      </c>
      <c r="Z33" s="2">
        <f t="shared" si="39"/>
        <v>95922.816914240873</v>
      </c>
      <c r="AA33" s="2">
        <f t="shared" si="28"/>
        <v>8141.2925051064085</v>
      </c>
      <c r="AB33" s="6">
        <f t="shared" si="29"/>
        <v>9.2744943311319772E-2</v>
      </c>
      <c r="AC33" s="7">
        <f t="shared" si="30"/>
        <v>1.0927449433113199</v>
      </c>
      <c r="AD33" s="2">
        <f t="shared" si="40"/>
        <v>0</v>
      </c>
      <c r="AE33" s="2"/>
      <c r="AG33">
        <f t="shared" si="14"/>
        <v>2006</v>
      </c>
      <c r="AH33" s="6">
        <f t="shared" si="6"/>
        <v>0.18810124050973087</v>
      </c>
      <c r="AI33" s="6"/>
      <c r="AJ33" s="6">
        <f t="shared" si="6"/>
        <v>0.22300124066237725</v>
      </c>
      <c r="AK33" s="6">
        <f t="shared" si="6"/>
        <v>8.9704305285029012E-2</v>
      </c>
      <c r="AL33" s="6"/>
      <c r="AM33" s="6">
        <f t="shared" si="6"/>
        <v>0.25480860130914246</v>
      </c>
      <c r="AN33" s="6">
        <f t="shared" si="15"/>
        <v>0.24438461223372046</v>
      </c>
      <c r="AO33" s="55">
        <f t="shared" si="16"/>
        <v>1.0000000000000002</v>
      </c>
      <c r="AP33" s="7">
        <f t="shared" si="31"/>
        <v>0.75561538776627968</v>
      </c>
      <c r="AQ33" s="7">
        <f t="shared" si="32"/>
        <v>0</v>
      </c>
      <c r="AS33">
        <f t="shared" si="33"/>
        <v>2006</v>
      </c>
      <c r="AT33" s="2">
        <f>S33</f>
        <v>18043.200854756502</v>
      </c>
      <c r="AU33" s="2"/>
      <c r="AV33" s="2">
        <f t="shared" si="55"/>
        <v>21390.90717970578</v>
      </c>
      <c r="AW33" s="2">
        <f t="shared" si="55"/>
        <v>8604.6896522750085</v>
      </c>
      <c r="AX33" s="2"/>
      <c r="AY33" s="2">
        <f t="shared" si="56"/>
        <v>24441.958811550667</v>
      </c>
      <c r="AZ33" s="2">
        <f t="shared" si="56"/>
        <v>23442.060415952918</v>
      </c>
      <c r="BA33" s="2">
        <f t="shared" si="17"/>
        <v>95922.816914240873</v>
      </c>
      <c r="BB33" s="2">
        <f t="shared" si="18"/>
        <v>0</v>
      </c>
      <c r="BC33" s="2"/>
      <c r="BM33" s="22"/>
      <c r="BN33">
        <f t="shared" si="5"/>
        <v>2006</v>
      </c>
      <c r="BO33" s="1" t="b">
        <f t="shared" si="34"/>
        <v>1</v>
      </c>
      <c r="BP33" s="1" t="b">
        <f t="shared" si="35"/>
        <v>0</v>
      </c>
      <c r="BS33" s="1" t="b">
        <f t="shared" si="19"/>
        <v>0</v>
      </c>
      <c r="BU33" s="1" t="b">
        <f t="shared" si="36"/>
        <v>0</v>
      </c>
      <c r="BV33" s="1" t="b">
        <f t="shared" si="37"/>
        <v>1</v>
      </c>
      <c r="CH33" s="2"/>
    </row>
    <row r="34" spans="1:86" x14ac:dyDescent="0.55000000000000004">
      <c r="A34">
        <f t="shared" si="8"/>
        <v>2007</v>
      </c>
      <c r="B34" s="2">
        <f t="shared" si="57"/>
        <v>19015.729380827877</v>
      </c>
      <c r="C34" s="2"/>
      <c r="D34" s="2">
        <f t="shared" si="58"/>
        <v>22678.853700995867</v>
      </c>
      <c r="E34" s="2">
        <f t="shared" si="58"/>
        <v>8704.1598646553084</v>
      </c>
      <c r="F34" s="2"/>
      <c r="G34" s="2">
        <f t="shared" si="59"/>
        <v>28235.839658279558</v>
      </c>
      <c r="H34" s="2">
        <f t="shared" si="59"/>
        <v>25064.250996736857</v>
      </c>
      <c r="I34" s="2">
        <f t="shared" si="38"/>
        <v>103698.83360149547</v>
      </c>
      <c r="J34" s="2">
        <f t="shared" si="22"/>
        <v>3043.4080500598211</v>
      </c>
      <c r="K34" s="6">
        <f t="shared" si="23"/>
        <v>3.0235906642753378E-2</v>
      </c>
      <c r="L34" s="7">
        <f t="shared" si="24"/>
        <v>1.0302359066427533</v>
      </c>
      <c r="N34">
        <f t="shared" si="25"/>
        <v>2007</v>
      </c>
      <c r="O34" s="2">
        <f t="shared" si="26"/>
        <v>4926.6455913197597</v>
      </c>
      <c r="P34" s="2"/>
      <c r="Q34" s="2"/>
      <c r="R34">
        <f t="shared" si="27"/>
        <v>2007</v>
      </c>
      <c r="S34" s="2">
        <f t="shared" si="9"/>
        <v>18030.400262563926</v>
      </c>
      <c r="T34" s="2"/>
      <c r="U34" s="2">
        <f t="shared" si="10"/>
        <v>21693.524582731916</v>
      </c>
      <c r="V34" s="2">
        <f t="shared" si="11"/>
        <v>7718.8307463913561</v>
      </c>
      <c r="W34" s="2"/>
      <c r="X34" s="2">
        <f t="shared" si="12"/>
        <v>27250.510540015606</v>
      </c>
      <c r="Y34" s="2">
        <f t="shared" si="13"/>
        <v>24078.921878472906</v>
      </c>
      <c r="Z34" s="2">
        <f t="shared" si="39"/>
        <v>98772.188010175712</v>
      </c>
      <c r="AA34" s="2">
        <f t="shared" si="28"/>
        <v>2849.3710959348391</v>
      </c>
      <c r="AB34" s="6">
        <f t="shared" si="29"/>
        <v>2.9704831317477878E-2</v>
      </c>
      <c r="AC34" s="7">
        <f t="shared" si="30"/>
        <v>1.0297048313174779</v>
      </c>
      <c r="AD34" s="2">
        <f t="shared" si="40"/>
        <v>0</v>
      </c>
      <c r="AE34" s="2"/>
      <c r="AG34">
        <f t="shared" si="14"/>
        <v>2007</v>
      </c>
      <c r="AH34" s="6">
        <f t="shared" si="6"/>
        <v>0.18254531590113604</v>
      </c>
      <c r="AI34" s="6"/>
      <c r="AJ34" s="6">
        <f t="shared" si="6"/>
        <v>0.21963191278598593</v>
      </c>
      <c r="AK34" s="6">
        <f t="shared" si="6"/>
        <v>7.8147815715048724E-2</v>
      </c>
      <c r="AL34" s="6"/>
      <c r="AM34" s="6">
        <f t="shared" si="6"/>
        <v>0.27589254717338246</v>
      </c>
      <c r="AN34" s="6">
        <f t="shared" si="15"/>
        <v>0.24378240842444682</v>
      </c>
      <c r="AO34" s="55">
        <f t="shared" si="16"/>
        <v>1</v>
      </c>
      <c r="AP34" s="7">
        <f t="shared" si="31"/>
        <v>0.75621759157555313</v>
      </c>
      <c r="AQ34" s="7">
        <f t="shared" si="32"/>
        <v>0</v>
      </c>
      <c r="AS34">
        <f t="shared" si="33"/>
        <v>2007</v>
      </c>
      <c r="AT34" s="2">
        <f>S34</f>
        <v>18030.400262563926</v>
      </c>
      <c r="AU34" s="2"/>
      <c r="AV34" s="2">
        <f t="shared" si="55"/>
        <v>21693.524582731916</v>
      </c>
      <c r="AW34" s="2">
        <f t="shared" si="55"/>
        <v>7718.8307463913561</v>
      </c>
      <c r="AX34" s="2"/>
      <c r="AY34" s="2">
        <f t="shared" si="56"/>
        <v>27250.510540015606</v>
      </c>
      <c r="AZ34" s="2">
        <f t="shared" si="56"/>
        <v>24078.921878472906</v>
      </c>
      <c r="BA34" s="2">
        <f t="shared" si="17"/>
        <v>98772.188010175712</v>
      </c>
      <c r="BB34" s="2">
        <f t="shared" si="18"/>
        <v>0</v>
      </c>
      <c r="BC34" s="2"/>
      <c r="BM34" s="22"/>
      <c r="BN34">
        <f t="shared" si="5"/>
        <v>2007</v>
      </c>
      <c r="BO34" s="1" t="b">
        <f t="shared" si="34"/>
        <v>1</v>
      </c>
      <c r="BP34" s="1" t="b">
        <f t="shared" si="35"/>
        <v>0</v>
      </c>
      <c r="BS34" s="1" t="b">
        <f t="shared" si="19"/>
        <v>0</v>
      </c>
      <c r="BU34" s="1" t="b">
        <f t="shared" si="36"/>
        <v>0</v>
      </c>
      <c r="BV34" s="1" t="b">
        <f t="shared" si="37"/>
        <v>1</v>
      </c>
      <c r="CH34" s="2"/>
    </row>
    <row r="35" spans="1:86" x14ac:dyDescent="0.55000000000000004">
      <c r="A35">
        <f t="shared" si="8"/>
        <v>2008</v>
      </c>
      <c r="B35" s="2">
        <f t="shared" si="57"/>
        <v>11355.546085362759</v>
      </c>
      <c r="C35" s="2"/>
      <c r="D35" s="2">
        <f t="shared" si="58"/>
        <v>12620.424861250121</v>
      </c>
      <c r="E35" s="2">
        <f t="shared" si="58"/>
        <v>4934.6484961679935</v>
      </c>
      <c r="F35" s="2"/>
      <c r="G35" s="2">
        <f t="shared" si="59"/>
        <v>15232.762886763323</v>
      </c>
      <c r="H35" s="2">
        <f t="shared" si="59"/>
        <v>25294.907433335786</v>
      </c>
      <c r="I35" s="2">
        <f t="shared" si="38"/>
        <v>69438.289762879984</v>
      </c>
      <c r="J35" s="2">
        <f t="shared" si="22"/>
        <v>-34260.543838615486</v>
      </c>
      <c r="K35" s="6">
        <f t="shared" si="23"/>
        <v>-0.33038504531570168</v>
      </c>
      <c r="L35" s="7">
        <f t="shared" si="24"/>
        <v>0.66961495468429832</v>
      </c>
      <c r="N35">
        <f t="shared" si="25"/>
        <v>2008</v>
      </c>
      <c r="O35" s="2">
        <f t="shared" si="26"/>
        <v>4926.6455913197597</v>
      </c>
      <c r="P35" s="2"/>
      <c r="Q35" s="2"/>
      <c r="R35">
        <f t="shared" si="27"/>
        <v>2008</v>
      </c>
      <c r="S35" s="2">
        <f t="shared" si="9"/>
        <v>10370.216967098808</v>
      </c>
      <c r="T35" s="2"/>
      <c r="U35" s="2">
        <f t="shared" si="10"/>
        <v>11635.09574298617</v>
      </c>
      <c r="V35" s="2">
        <f t="shared" si="11"/>
        <v>3949.3193779040416</v>
      </c>
      <c r="W35" s="2"/>
      <c r="X35" s="2">
        <f t="shared" si="12"/>
        <v>14247.433768499372</v>
      </c>
      <c r="Y35" s="2">
        <f t="shared" si="13"/>
        <v>24309.578315071834</v>
      </c>
      <c r="Z35" s="2">
        <f t="shared" si="39"/>
        <v>64511.644171560227</v>
      </c>
      <c r="AA35" s="2">
        <f t="shared" si="28"/>
        <v>-34260.543838615486</v>
      </c>
      <c r="AB35" s="6">
        <f t="shared" si="29"/>
        <v>-0.34686427959949512</v>
      </c>
      <c r="AC35" s="7">
        <f t="shared" si="30"/>
        <v>0.65313572040050483</v>
      </c>
      <c r="AD35" s="2">
        <f t="shared" si="40"/>
        <v>0</v>
      </c>
      <c r="AE35" s="2"/>
      <c r="AG35">
        <f t="shared" si="14"/>
        <v>2008</v>
      </c>
      <c r="AH35" s="6">
        <f t="shared" si="6"/>
        <v>0.16074953754892032</v>
      </c>
      <c r="AI35" s="6"/>
      <c r="AJ35" s="6">
        <f t="shared" si="6"/>
        <v>0.18035652156135046</v>
      </c>
      <c r="AK35" s="6">
        <f t="shared" si="6"/>
        <v>6.1218705996724354E-2</v>
      </c>
      <c r="AL35" s="6"/>
      <c r="AM35" s="6">
        <f t="shared" si="6"/>
        <v>0.22085057591479448</v>
      </c>
      <c r="AN35" s="6">
        <f t="shared" si="15"/>
        <v>0.37682465897821038</v>
      </c>
      <c r="AO35" s="55">
        <f t="shared" si="16"/>
        <v>1</v>
      </c>
      <c r="AP35" s="7">
        <f t="shared" si="31"/>
        <v>0.62317534102178962</v>
      </c>
      <c r="AQ35" s="7">
        <f t="shared" si="32"/>
        <v>0</v>
      </c>
      <c r="AS35">
        <f t="shared" si="33"/>
        <v>2008</v>
      </c>
      <c r="AT35" s="36">
        <v>0</v>
      </c>
      <c r="AU35" s="36"/>
      <c r="AV35" s="36">
        <v>0</v>
      </c>
      <c r="AW35" s="36">
        <v>0</v>
      </c>
      <c r="AX35" s="36"/>
      <c r="AY35" s="36">
        <v>0</v>
      </c>
      <c r="AZ35" s="36">
        <f>Z35</f>
        <v>64511.644171560227</v>
      </c>
      <c r="BA35" s="2">
        <f t="shared" si="17"/>
        <v>64511.644171560227</v>
      </c>
      <c r="BB35" s="2">
        <f t="shared" si="18"/>
        <v>0</v>
      </c>
      <c r="BC35" s="2"/>
      <c r="BM35" s="22"/>
      <c r="BN35">
        <f t="shared" si="5"/>
        <v>2008</v>
      </c>
      <c r="BO35" s="1" t="b">
        <f t="shared" si="34"/>
        <v>1</v>
      </c>
      <c r="BP35" s="1" t="b">
        <f t="shared" si="35"/>
        <v>0</v>
      </c>
      <c r="BS35" s="1" t="b">
        <f t="shared" si="19"/>
        <v>0</v>
      </c>
      <c r="BU35" s="25" t="b">
        <f t="shared" si="36"/>
        <v>0</v>
      </c>
      <c r="BV35" s="1" t="b">
        <f t="shared" si="37"/>
        <v>1</v>
      </c>
      <c r="CH35" s="2"/>
    </row>
    <row r="36" spans="1:86" x14ac:dyDescent="0.55000000000000004">
      <c r="A36">
        <f t="shared" si="8"/>
        <v>2009</v>
      </c>
      <c r="B36" s="2">
        <f t="shared" si="57"/>
        <v>0</v>
      </c>
      <c r="C36" s="2"/>
      <c r="D36" s="2">
        <f t="shared" si="58"/>
        <v>0</v>
      </c>
      <c r="E36" s="2">
        <f t="shared" si="58"/>
        <v>0</v>
      </c>
      <c r="F36" s="2"/>
      <c r="G36" s="2">
        <f t="shared" si="59"/>
        <v>0</v>
      </c>
      <c r="H36" s="2">
        <f t="shared" si="59"/>
        <v>68337.184670933741</v>
      </c>
      <c r="I36" s="2">
        <f t="shared" si="38"/>
        <v>68337.184670933741</v>
      </c>
      <c r="J36" s="2">
        <f t="shared" si="22"/>
        <v>-1101.1050919462432</v>
      </c>
      <c r="K36" s="6">
        <f t="shared" si="23"/>
        <v>-1.5857318717185157E-2</v>
      </c>
      <c r="L36" s="7">
        <f t="shared" si="24"/>
        <v>0.98414268128281479</v>
      </c>
      <c r="N36">
        <f t="shared" si="25"/>
        <v>2009</v>
      </c>
      <c r="O36" s="2">
        <f t="shared" si="26"/>
        <v>5064.5916678767135</v>
      </c>
      <c r="P36" s="2"/>
      <c r="Q36" s="2"/>
      <c r="R36">
        <f t="shared" si="27"/>
        <v>2009</v>
      </c>
      <c r="S36" s="36">
        <v>0</v>
      </c>
      <c r="T36" s="36"/>
      <c r="U36" s="36">
        <v>0</v>
      </c>
      <c r="V36" s="36">
        <v>0</v>
      </c>
      <c r="W36" s="36"/>
      <c r="X36" s="36">
        <v>0</v>
      </c>
      <c r="Y36" s="36">
        <f>H36-($O36/1)</f>
        <v>63272.593003057031</v>
      </c>
      <c r="Z36" s="2">
        <f t="shared" si="39"/>
        <v>63272.593003057031</v>
      </c>
      <c r="AA36" s="2">
        <f t="shared" si="28"/>
        <v>-1239.0511685031961</v>
      </c>
      <c r="AB36" s="6">
        <f t="shared" si="29"/>
        <v>-1.9206628267109463E-2</v>
      </c>
      <c r="AC36" s="7">
        <f t="shared" si="30"/>
        <v>0.9807933717328905</v>
      </c>
      <c r="AD36" s="2">
        <f t="shared" si="40"/>
        <v>0</v>
      </c>
      <c r="AE36" s="2"/>
      <c r="AG36">
        <f t="shared" si="14"/>
        <v>2009</v>
      </c>
      <c r="AH36" s="6">
        <f t="shared" si="6"/>
        <v>0</v>
      </c>
      <c r="AI36" s="6"/>
      <c r="AJ36" s="6">
        <f t="shared" si="6"/>
        <v>0</v>
      </c>
      <c r="AK36" s="6">
        <f t="shared" si="6"/>
        <v>0</v>
      </c>
      <c r="AL36" s="6"/>
      <c r="AM36" s="6">
        <f t="shared" si="6"/>
        <v>0</v>
      </c>
      <c r="AN36" s="6">
        <f t="shared" si="15"/>
        <v>1</v>
      </c>
      <c r="AO36" s="55">
        <f t="shared" si="16"/>
        <v>1</v>
      </c>
      <c r="AP36" s="7">
        <f t="shared" si="31"/>
        <v>0</v>
      </c>
      <c r="AQ36" s="7">
        <f t="shared" si="32"/>
        <v>0</v>
      </c>
      <c r="AS36">
        <f t="shared" si="33"/>
        <v>2009</v>
      </c>
      <c r="AT36" s="24">
        <f>$Z36*AT$26</f>
        <v>12654.518600611407</v>
      </c>
      <c r="AU36" s="24"/>
      <c r="AV36" s="24">
        <f>$Z36*AV$26</f>
        <v>12654.518600611407</v>
      </c>
      <c r="AW36" s="24">
        <f>$Z36*AW$26</f>
        <v>6327.2593003057036</v>
      </c>
      <c r="AX36" s="24"/>
      <c r="AY36" s="24">
        <f>$Z36*AY$26</f>
        <v>12654.518600611407</v>
      </c>
      <c r="AZ36" s="24">
        <f>$Z36*AZ$26</f>
        <v>18981.77790091711</v>
      </c>
      <c r="BA36" s="2">
        <f t="shared" si="17"/>
        <v>63272.593003057031</v>
      </c>
      <c r="BB36" s="2">
        <f t="shared" si="18"/>
        <v>0</v>
      </c>
      <c r="BC36" s="2"/>
      <c r="BM36" s="22"/>
      <c r="BN36">
        <f t="shared" si="5"/>
        <v>2009</v>
      </c>
      <c r="BO36" s="1" t="b">
        <f t="shared" si="34"/>
        <v>0</v>
      </c>
      <c r="BP36" s="1" t="b">
        <f t="shared" si="35"/>
        <v>0</v>
      </c>
      <c r="BS36" s="1"/>
      <c r="BT36" s="1" t="b">
        <f t="shared" ref="BT36:BT41" si="60">AND((X36/$Z36)&gt;0.15,(X36/$Z36)&lt;0.25)</f>
        <v>0</v>
      </c>
      <c r="BU36" s="1" t="b">
        <f t="shared" si="36"/>
        <v>0</v>
      </c>
      <c r="BV36" s="1" t="b">
        <f t="shared" si="37"/>
        <v>1</v>
      </c>
      <c r="CH36" s="2"/>
    </row>
    <row r="37" spans="1:86" x14ac:dyDescent="0.55000000000000004">
      <c r="A37">
        <f t="shared" si="8"/>
        <v>2010</v>
      </c>
      <c r="B37" s="2">
        <f t="shared" si="57"/>
        <v>14541.307323962568</v>
      </c>
      <c r="C37" s="2"/>
      <c r="D37" s="2">
        <f t="shared" si="58"/>
        <v>15876.35903632707</v>
      </c>
      <c r="E37" s="2">
        <f t="shared" si="58"/>
        <v>8081.175578350445</v>
      </c>
      <c r="F37" s="2"/>
      <c r="G37" s="2">
        <f t="shared" si="59"/>
        <v>14061.701068999395</v>
      </c>
      <c r="H37" s="2">
        <f t="shared" si="59"/>
        <v>20200.408042155988</v>
      </c>
      <c r="I37" s="2">
        <f t="shared" si="38"/>
        <v>72760.951049795462</v>
      </c>
      <c r="J37" s="2">
        <f t="shared" si="22"/>
        <v>4423.766378861721</v>
      </c>
      <c r="K37" s="6">
        <f t="shared" si="23"/>
        <v>6.4734396070947706E-2</v>
      </c>
      <c r="L37" s="7">
        <f t="shared" si="24"/>
        <v>1.0647343960709477</v>
      </c>
      <c r="N37">
        <f t="shared" si="25"/>
        <v>2010</v>
      </c>
      <c r="O37" s="2">
        <f t="shared" si="26"/>
        <v>5135.4959512269879</v>
      </c>
      <c r="P37" s="2"/>
      <c r="Q37" s="2"/>
      <c r="R37">
        <f t="shared" si="27"/>
        <v>2010</v>
      </c>
      <c r="S37" s="2">
        <f t="shared" ref="S37" si="61">B37-($O37/5)</f>
        <v>13514.208133717171</v>
      </c>
      <c r="T37" s="2"/>
      <c r="U37" s="2">
        <f t="shared" ref="U37" si="62">D37-($O37/5)</f>
        <v>14849.259846081673</v>
      </c>
      <c r="V37" s="2">
        <f t="shared" ref="V37" si="63">E37-($O37/5)</f>
        <v>7054.076388105048</v>
      </c>
      <c r="W37" s="2"/>
      <c r="X37" s="2">
        <f t="shared" ref="X37" si="64">G37-($O37/5)</f>
        <v>13034.601878753998</v>
      </c>
      <c r="Y37" s="2">
        <f t="shared" si="13"/>
        <v>19173.308851910591</v>
      </c>
      <c r="Z37" s="2">
        <f t="shared" si="39"/>
        <v>67625.455098568476</v>
      </c>
      <c r="AA37" s="2">
        <f t="shared" si="28"/>
        <v>4352.8620955114457</v>
      </c>
      <c r="AB37" s="6">
        <f t="shared" si="29"/>
        <v>6.879538025731198E-2</v>
      </c>
      <c r="AC37" s="7">
        <f t="shared" si="30"/>
        <v>1.068795380257312</v>
      </c>
      <c r="AD37" s="2">
        <f t="shared" si="40"/>
        <v>0</v>
      </c>
      <c r="AE37" s="2"/>
      <c r="AG37">
        <f t="shared" si="14"/>
        <v>2010</v>
      </c>
      <c r="AH37" s="6">
        <f t="shared" si="6"/>
        <v>0.19983907116069441</v>
      </c>
      <c r="AI37" s="6"/>
      <c r="AJ37" s="6">
        <f t="shared" si="6"/>
        <v>0.21958092295923062</v>
      </c>
      <c r="AK37" s="6">
        <f t="shared" si="6"/>
        <v>0.10431096364265904</v>
      </c>
      <c r="AL37" s="7"/>
      <c r="AM37" s="6">
        <f t="shared" si="6"/>
        <v>0.19274697463780793</v>
      </c>
      <c r="AN37" s="6">
        <f t="shared" si="15"/>
        <v>0.28352206759960807</v>
      </c>
      <c r="AO37" s="55">
        <f t="shared" si="16"/>
        <v>1</v>
      </c>
      <c r="AP37" s="7">
        <f t="shared" si="31"/>
        <v>0.71647793240039204</v>
      </c>
      <c r="AQ37" s="7">
        <f t="shared" si="32"/>
        <v>0</v>
      </c>
      <c r="AS37">
        <f t="shared" si="33"/>
        <v>2010</v>
      </c>
      <c r="AT37" s="2">
        <f>S37</f>
        <v>13514.208133717171</v>
      </c>
      <c r="AU37" s="2"/>
      <c r="AV37" s="2">
        <f t="shared" ref="AV37:AW39" si="65">U37</f>
        <v>14849.259846081673</v>
      </c>
      <c r="AW37" s="2">
        <f t="shared" si="65"/>
        <v>7054.076388105048</v>
      </c>
      <c r="AX37" s="2"/>
      <c r="AY37" s="2">
        <f t="shared" ref="AY37:AZ39" si="66">X37</f>
        <v>13034.601878753998</v>
      </c>
      <c r="AZ37" s="2">
        <f t="shared" si="66"/>
        <v>19173.308851910591</v>
      </c>
      <c r="BA37" s="2">
        <f t="shared" si="17"/>
        <v>67625.455098568476</v>
      </c>
      <c r="BB37" s="2">
        <f t="shared" si="18"/>
        <v>0</v>
      </c>
      <c r="BC37" s="2"/>
      <c r="BM37" s="22"/>
      <c r="BN37">
        <f t="shared" si="5"/>
        <v>2010</v>
      </c>
      <c r="BO37" s="25" t="b">
        <f t="shared" si="34"/>
        <v>1</v>
      </c>
      <c r="BP37" s="1" t="b">
        <f t="shared" si="35"/>
        <v>0</v>
      </c>
      <c r="BT37" s="1" t="b">
        <f t="shared" si="60"/>
        <v>1</v>
      </c>
      <c r="BU37" s="1" t="b">
        <f t="shared" si="36"/>
        <v>1</v>
      </c>
      <c r="BV37" s="1" t="b">
        <f t="shared" si="37"/>
        <v>1</v>
      </c>
      <c r="CH37" s="2"/>
    </row>
    <row r="38" spans="1:86" x14ac:dyDescent="0.55000000000000004">
      <c r="A38">
        <f t="shared" si="8"/>
        <v>2011</v>
      </c>
      <c r="B38" s="2">
        <f t="shared" si="57"/>
        <v>13780.438033951401</v>
      </c>
      <c r="C38" s="2"/>
      <c r="D38" s="2">
        <f t="shared" si="58"/>
        <v>14535.940463329351</v>
      </c>
      <c r="E38" s="2">
        <f t="shared" si="58"/>
        <v>6856.5622492381062</v>
      </c>
      <c r="F38" s="2"/>
      <c r="G38" s="2">
        <f t="shared" si="59"/>
        <v>11136.763845207417</v>
      </c>
      <c r="H38" s="2">
        <f t="shared" si="59"/>
        <v>20622.811001115035</v>
      </c>
      <c r="I38" s="2">
        <f t="shared" si="38"/>
        <v>66932.515592841315</v>
      </c>
      <c r="J38" s="2">
        <f t="shared" si="22"/>
        <v>-5828.4354569541465</v>
      </c>
      <c r="K38" s="6">
        <f t="shared" si="23"/>
        <v>-8.0103893267768539E-2</v>
      </c>
      <c r="L38" s="7">
        <f t="shared" si="24"/>
        <v>0.91989610673223143</v>
      </c>
      <c r="N38">
        <f t="shared" si="25"/>
        <v>2011</v>
      </c>
      <c r="O38" s="2">
        <f t="shared" si="26"/>
        <v>5289.5608297637973</v>
      </c>
      <c r="P38" s="2"/>
      <c r="Q38" s="2"/>
      <c r="R38">
        <f t="shared" si="27"/>
        <v>2011</v>
      </c>
      <c r="S38" s="2">
        <f t="shared" si="9"/>
        <v>12722.525867998642</v>
      </c>
      <c r="T38" s="2"/>
      <c r="U38" s="2">
        <f t="shared" si="10"/>
        <v>13478.028297376592</v>
      </c>
      <c r="V38" s="2">
        <f t="shared" si="11"/>
        <v>5798.6500832853471</v>
      </c>
      <c r="W38" s="2"/>
      <c r="X38" s="2">
        <f t="shared" si="12"/>
        <v>10078.851679254658</v>
      </c>
      <c r="Y38" s="2">
        <f t="shared" si="13"/>
        <v>19564.898835162276</v>
      </c>
      <c r="Z38" s="2">
        <f t="shared" si="39"/>
        <v>61642.954763077512</v>
      </c>
      <c r="AA38" s="2">
        <f t="shared" si="28"/>
        <v>-5982.5003354909641</v>
      </c>
      <c r="AB38" s="6">
        <f t="shared" si="29"/>
        <v>-8.8465213679835245E-2</v>
      </c>
      <c r="AC38" s="7">
        <f t="shared" si="30"/>
        <v>0.91153478632016471</v>
      </c>
      <c r="AD38" s="2">
        <f t="shared" si="40"/>
        <v>0</v>
      </c>
      <c r="AE38" s="2"/>
      <c r="AG38">
        <f t="shared" si="14"/>
        <v>2011</v>
      </c>
      <c r="AH38" s="6">
        <f t="shared" ref="AH38:AM39" si="67">S38/$Z38</f>
        <v>0.20639059105614282</v>
      </c>
      <c r="AI38" s="7"/>
      <c r="AJ38" s="6">
        <f t="shared" si="67"/>
        <v>0.21864669448729235</v>
      </c>
      <c r="AK38" s="6">
        <f t="shared" si="67"/>
        <v>9.4068334419922781E-2</v>
      </c>
      <c r="AL38" s="7"/>
      <c r="AM38" s="6">
        <f t="shared" si="67"/>
        <v>0.16350370805540329</v>
      </c>
      <c r="AN38" s="6">
        <f t="shared" si="15"/>
        <v>0.31739067198123877</v>
      </c>
      <c r="AO38" s="55">
        <f t="shared" si="16"/>
        <v>1</v>
      </c>
      <c r="AP38" s="7">
        <f t="shared" si="31"/>
        <v>0.68260932801876117</v>
      </c>
      <c r="AQ38" s="7">
        <f t="shared" si="32"/>
        <v>0</v>
      </c>
      <c r="AS38">
        <f t="shared" si="33"/>
        <v>2011</v>
      </c>
      <c r="AT38" s="2">
        <f>S38</f>
        <v>12722.525867998642</v>
      </c>
      <c r="AU38" s="2"/>
      <c r="AV38" s="2">
        <f t="shared" si="65"/>
        <v>13478.028297376592</v>
      </c>
      <c r="AW38" s="2">
        <f t="shared" si="65"/>
        <v>5798.6500832853471</v>
      </c>
      <c r="AX38" s="2"/>
      <c r="AY38" s="2">
        <f t="shared" si="66"/>
        <v>10078.851679254658</v>
      </c>
      <c r="AZ38" s="2">
        <f t="shared" si="66"/>
        <v>19564.898835162276</v>
      </c>
      <c r="BA38" s="2">
        <f t="shared" si="17"/>
        <v>61642.954763077512</v>
      </c>
      <c r="BB38" s="2">
        <f t="shared" si="18"/>
        <v>0</v>
      </c>
      <c r="BC38" s="2"/>
      <c r="BM38" s="22"/>
      <c r="BN38">
        <f t="shared" si="5"/>
        <v>2011</v>
      </c>
      <c r="BO38" s="1" t="b">
        <f t="shared" si="34"/>
        <v>1</v>
      </c>
      <c r="BQ38" s="1" t="b">
        <f>AND((U38/$Z38)&gt;0.15,(U38/$Z38)&lt;0.25)</f>
        <v>1</v>
      </c>
      <c r="BR38" s="1" t="b">
        <f>AND((V38/$Z38)&gt;0.05,(V38/$Z38)&lt;0.15)</f>
        <v>1</v>
      </c>
      <c r="BT38" s="1" t="b">
        <f t="shared" si="60"/>
        <v>1</v>
      </c>
      <c r="BU38" s="1" t="b">
        <f t="shared" si="36"/>
        <v>1</v>
      </c>
      <c r="BV38" s="1" t="b">
        <f t="shared" si="37"/>
        <v>1</v>
      </c>
      <c r="CH38" s="2"/>
    </row>
    <row r="39" spans="1:86" x14ac:dyDescent="0.55000000000000004">
      <c r="A39">
        <f t="shared" si="8"/>
        <v>2012</v>
      </c>
      <c r="B39" s="2">
        <f t="shared" si="57"/>
        <v>14735.229460316026</v>
      </c>
      <c r="C39" s="2"/>
      <c r="D39" s="2">
        <f t="shared" si="58"/>
        <v>15607.556768362092</v>
      </c>
      <c r="E39" s="2">
        <f t="shared" si="58"/>
        <v>6844.7265583100243</v>
      </c>
      <c r="F39" s="2"/>
      <c r="G39" s="2">
        <f t="shared" si="59"/>
        <v>11907.155373871454</v>
      </c>
      <c r="H39" s="2">
        <f t="shared" si="59"/>
        <v>20357.277237986349</v>
      </c>
      <c r="I39" s="2">
        <f t="shared" si="38"/>
        <v>69451.945398845943</v>
      </c>
      <c r="J39" s="2">
        <f t="shared" si="22"/>
        <v>2519.4298060046276</v>
      </c>
      <c r="K39" s="6">
        <f t="shared" si="23"/>
        <v>3.7641343429113398E-2</v>
      </c>
      <c r="L39" s="7">
        <f t="shared" si="24"/>
        <v>1.0376413434291134</v>
      </c>
      <c r="N39">
        <f t="shared" si="25"/>
        <v>2012</v>
      </c>
      <c r="O39" s="2">
        <f t="shared" si="26"/>
        <v>5384.7729246995459</v>
      </c>
      <c r="P39" s="2"/>
      <c r="Q39" s="2"/>
      <c r="R39">
        <f t="shared" si="27"/>
        <v>2012</v>
      </c>
      <c r="S39" s="2">
        <f t="shared" ref="S39" si="68">B39-($O39/5)</f>
        <v>13658.274875376117</v>
      </c>
      <c r="T39" s="2"/>
      <c r="U39" s="2">
        <f t="shared" ref="U39:V39" si="69">D39-($O39/5)</f>
        <v>14530.602183422183</v>
      </c>
      <c r="V39" s="2">
        <f t="shared" si="69"/>
        <v>5767.7719733701151</v>
      </c>
      <c r="W39" s="2"/>
      <c r="X39" s="2">
        <f t="shared" ref="X39:Y39" si="70">G39-($O39/5)</f>
        <v>10830.200788931545</v>
      </c>
      <c r="Y39" s="2">
        <f t="shared" si="70"/>
        <v>19280.322653046438</v>
      </c>
      <c r="Z39" s="2">
        <f t="shared" si="39"/>
        <v>64067.172474146399</v>
      </c>
      <c r="AA39" s="2">
        <f t="shared" si="28"/>
        <v>2424.2177110688863</v>
      </c>
      <c r="AB39" s="6">
        <f t="shared" si="29"/>
        <v>3.9326760379775436E-2</v>
      </c>
      <c r="AC39" s="7">
        <f t="shared" si="30"/>
        <v>1.0393267603797753</v>
      </c>
      <c r="AD39" s="2">
        <f t="shared" si="40"/>
        <v>0</v>
      </c>
      <c r="AE39" s="2"/>
      <c r="AG39">
        <f t="shared" si="14"/>
        <v>2012</v>
      </c>
      <c r="AH39" s="6">
        <f t="shared" si="67"/>
        <v>0.2131867904875584</v>
      </c>
      <c r="AI39" s="7"/>
      <c r="AJ39" s="6">
        <f t="shared" si="67"/>
        <v>0.22680261391722645</v>
      </c>
      <c r="AK39" s="6">
        <f t="shared" si="67"/>
        <v>9.0026947508845281E-2</v>
      </c>
      <c r="AL39" s="7"/>
      <c r="AM39" s="6">
        <f t="shared" si="67"/>
        <v>0.16904446334512346</v>
      </c>
      <c r="AN39" s="6">
        <f t="shared" si="15"/>
        <v>0.30093918474124637</v>
      </c>
      <c r="AO39" s="55">
        <f t="shared" si="16"/>
        <v>1</v>
      </c>
      <c r="AP39" s="7">
        <f t="shared" si="31"/>
        <v>0.69906081525875363</v>
      </c>
      <c r="AQ39" s="7">
        <f t="shared" si="32"/>
        <v>0</v>
      </c>
      <c r="AS39">
        <f t="shared" si="33"/>
        <v>2012</v>
      </c>
      <c r="AT39" s="2">
        <f>S39</f>
        <v>13658.274875376117</v>
      </c>
      <c r="AU39" s="2"/>
      <c r="AV39" s="2">
        <f t="shared" si="65"/>
        <v>14530.602183422183</v>
      </c>
      <c r="AW39" s="2">
        <f t="shared" si="65"/>
        <v>5767.7719733701151</v>
      </c>
      <c r="AX39" s="2"/>
      <c r="AY39" s="2">
        <f t="shared" si="66"/>
        <v>10830.200788931545</v>
      </c>
      <c r="AZ39" s="2">
        <f t="shared" si="66"/>
        <v>19280.322653046438</v>
      </c>
      <c r="BA39" s="2">
        <f t="shared" si="17"/>
        <v>64067.172474146399</v>
      </c>
      <c r="BB39" s="2">
        <f t="shared" si="18"/>
        <v>0</v>
      </c>
      <c r="BC39" s="2"/>
      <c r="BM39" s="22"/>
      <c r="BN39">
        <f t="shared" si="5"/>
        <v>2012</v>
      </c>
      <c r="BO39" s="1" t="b">
        <f t="shared" si="34"/>
        <v>1</v>
      </c>
      <c r="BQ39" s="1" t="b">
        <f t="shared" ref="BQ39:BQ41" si="71">AND((U39/$Z39)&gt;0.15,(U39/$Z39)&lt;0.25)</f>
        <v>1</v>
      </c>
      <c r="BR39" s="1" t="b">
        <f t="shared" ref="BR39:BR41" si="72">AND((V39/$Z39)&gt;0.05,(V39/$Z39)&lt;0.15)</f>
        <v>1</v>
      </c>
      <c r="BT39" s="1" t="b">
        <f t="shared" si="60"/>
        <v>1</v>
      </c>
      <c r="BU39" s="1" t="b">
        <f t="shared" si="36"/>
        <v>1</v>
      </c>
      <c r="BV39" s="1" t="b">
        <f t="shared" si="37"/>
        <v>1</v>
      </c>
      <c r="CH39" s="2"/>
    </row>
    <row r="40" spans="1:86" x14ac:dyDescent="0.55000000000000004">
      <c r="A40">
        <f t="shared" si="8"/>
        <v>2013</v>
      </c>
      <c r="B40" s="2">
        <f t="shared" si="57"/>
        <v>18053.507730272151</v>
      </c>
      <c r="C40" s="2"/>
      <c r="D40" s="2">
        <f t="shared" ref="D40:E40" si="73">AV39*(1+(D17/100))</f>
        <v>19616.312947619946</v>
      </c>
      <c r="E40" s="2">
        <f t="shared" si="73"/>
        <v>7937.6077897519517</v>
      </c>
      <c r="F40" s="2"/>
      <c r="G40" s="2">
        <f t="shared" ref="G40:H40" si="74">AY39*(1+(G17/100))</f>
        <v>12459.062987586847</v>
      </c>
      <c r="H40" s="2">
        <f t="shared" si="74"/>
        <v>18844.58736108759</v>
      </c>
      <c r="I40" s="2">
        <f t="shared" ref="I40:I41" si="75">SUM(B40:H40)</f>
        <v>76911.078816318492</v>
      </c>
      <c r="J40" s="2">
        <f t="shared" ref="J40:J41" si="76">I40-I39</f>
        <v>7459.1334174725489</v>
      </c>
      <c r="K40" s="6">
        <f t="shared" ref="K40:K41" si="77">(J40/I39)</f>
        <v>0.10739992054414785</v>
      </c>
      <c r="L40" s="7">
        <f t="shared" ref="L40:L41" si="78">K40+1</f>
        <v>1.1073999205441478</v>
      </c>
      <c r="N40">
        <f t="shared" ref="N40:N41" si="79">A40</f>
        <v>2013</v>
      </c>
      <c r="O40" s="2">
        <f t="shared" si="26"/>
        <v>5446.9989139694262</v>
      </c>
      <c r="P40" s="2"/>
      <c r="Q40" s="2"/>
      <c r="R40">
        <f t="shared" ref="R40:R41" si="80">A40</f>
        <v>2013</v>
      </c>
      <c r="S40" s="2">
        <f t="shared" ref="S40:S41" si="81">B40-($O40/5)</f>
        <v>16964.107947478267</v>
      </c>
      <c r="T40" s="2"/>
      <c r="U40" s="2">
        <f t="shared" ref="U40:U41" si="82">D40-($O40/5)</f>
        <v>18526.913164826063</v>
      </c>
      <c r="V40" s="2">
        <f t="shared" ref="V40:V41" si="83">E40-($O40/5)</f>
        <v>6848.2080069580661</v>
      </c>
      <c r="W40" s="2"/>
      <c r="X40" s="2">
        <f t="shared" ref="X40:X41" si="84">G40-($O40/5)</f>
        <v>11369.663204792962</v>
      </c>
      <c r="Y40" s="2">
        <f t="shared" ref="Y40:Y41" si="85">H40-($O40/5)</f>
        <v>17755.187578293706</v>
      </c>
      <c r="Z40" s="2">
        <f t="shared" ref="Z40:Z41" si="86">SUM(S40:Y40)</f>
        <v>71464.079902349069</v>
      </c>
      <c r="AA40" s="2">
        <f t="shared" ref="AA40:AA41" si="87">Z40-Z39</f>
        <v>7396.9074282026704</v>
      </c>
      <c r="AB40" s="6">
        <f t="shared" ref="AB40:AB41" si="88">(AA40/Z39)</f>
        <v>0.11545549994714704</v>
      </c>
      <c r="AC40" s="7">
        <f t="shared" ref="AC40:AC41" si="89">AB40+1</f>
        <v>1.1154554999471471</v>
      </c>
      <c r="AD40" s="2">
        <f t="shared" ref="AD40:AD41" si="90">Z40-(I40-O40)</f>
        <v>0</v>
      </c>
      <c r="AE40" s="2"/>
      <c r="AG40">
        <f t="shared" ref="AG40:AG41" si="91">A40</f>
        <v>2013</v>
      </c>
      <c r="AH40" s="6">
        <f t="shared" ref="AH40:AH41" si="92">S40/$Z40</f>
        <v>0.23737950548945144</v>
      </c>
      <c r="AI40" s="7"/>
      <c r="AJ40" s="6">
        <f t="shared" ref="AJ40:AJ41" si="93">U40/$Z40</f>
        <v>0.25924790734228809</v>
      </c>
      <c r="AK40" s="6">
        <f t="shared" ref="AK40:AK41" si="94">V40/$Z40</f>
        <v>9.5827274573683577E-2</v>
      </c>
      <c r="AL40" s="7"/>
      <c r="AM40" s="6">
        <f t="shared" ref="AM40:AM41" si="95">X40/$Z40</f>
        <v>0.15909619518405405</v>
      </c>
      <c r="AN40" s="6">
        <f t="shared" ref="AN40:AN41" si="96">Y40/$Z40</f>
        <v>0.24844911741052278</v>
      </c>
      <c r="AO40" s="55">
        <f t="shared" ref="AO40:AO41" si="97">SUM(AH40:AN40)</f>
        <v>0.99999999999999989</v>
      </c>
      <c r="AP40" s="7">
        <f t="shared" ref="AP40:AP41" si="98">SUM(AH40:AM40)</f>
        <v>0.75155088258947711</v>
      </c>
      <c r="AQ40" s="7">
        <f t="shared" ref="AQ40:AQ41" si="99">AO40-(AP40+AN40)</f>
        <v>0</v>
      </c>
      <c r="AS40">
        <f t="shared" si="33"/>
        <v>2013</v>
      </c>
      <c r="AT40" s="2">
        <f t="shared" ref="AT40:AT41" si="100">S40</f>
        <v>16964.107947478267</v>
      </c>
      <c r="AU40" s="2"/>
      <c r="AV40" s="2">
        <f t="shared" ref="AV40:AV41" si="101">U40</f>
        <v>18526.913164826063</v>
      </c>
      <c r="AW40" s="2">
        <f t="shared" ref="AW40:AW41" si="102">V40</f>
        <v>6848.2080069580661</v>
      </c>
      <c r="AX40" s="2"/>
      <c r="AY40" s="2">
        <f t="shared" ref="AY40:AY41" si="103">X40</f>
        <v>11369.663204792962</v>
      </c>
      <c r="AZ40" s="2">
        <f t="shared" ref="AZ40:AZ41" si="104">Y40</f>
        <v>17755.187578293706</v>
      </c>
      <c r="BA40" s="2">
        <f t="shared" ref="BA40:BA41" si="105">Z40</f>
        <v>71464.079902349069</v>
      </c>
      <c r="BB40" s="2">
        <f t="shared" ref="BB40:BB41" si="106">SUM(AT40:AZ40)-Z40</f>
        <v>0</v>
      </c>
      <c r="BC40" s="2"/>
      <c r="BM40" s="22"/>
      <c r="BO40" s="1"/>
      <c r="BQ40" s="1"/>
      <c r="BR40" s="1"/>
      <c r="BT40" s="1"/>
      <c r="BU40" s="1"/>
      <c r="BV40" s="1"/>
      <c r="CH40" s="2"/>
    </row>
    <row r="41" spans="1:86" x14ac:dyDescent="0.55000000000000004">
      <c r="A41">
        <f t="shared" si="8"/>
        <v>2014</v>
      </c>
      <c r="B41" s="2">
        <f t="shared" si="57"/>
        <v>19255.95893118258</v>
      </c>
      <c r="C41" s="2"/>
      <c r="D41" s="2">
        <f t="shared" ref="D41:E41" si="107">AV40*(1+(D18/100))</f>
        <v>21046.57335524241</v>
      </c>
      <c r="E41" s="2">
        <f t="shared" si="107"/>
        <v>7352.9209370708759</v>
      </c>
      <c r="F41" s="2"/>
      <c r="G41" s="2">
        <f t="shared" ref="G41:H41" si="108">AY40*(1+(G18/100))</f>
        <v>10887.58948490974</v>
      </c>
      <c r="H41" s="2">
        <f t="shared" si="108"/>
        <v>18777.886382803426</v>
      </c>
      <c r="I41" s="2">
        <f t="shared" si="75"/>
        <v>77320.929091209036</v>
      </c>
      <c r="J41" s="2">
        <f t="shared" si="76"/>
        <v>409.85027489054482</v>
      </c>
      <c r="K41" s="6">
        <f t="shared" si="77"/>
        <v>5.3288847484425804E-3</v>
      </c>
      <c r="L41" s="7">
        <f t="shared" si="78"/>
        <v>1.0053288847484425</v>
      </c>
      <c r="N41">
        <f t="shared" si="79"/>
        <v>2014</v>
      </c>
      <c r="O41" s="2">
        <f t="shared" si="26"/>
        <v>5517.265199959631</v>
      </c>
      <c r="P41" s="2"/>
      <c r="Q41" s="2"/>
      <c r="R41">
        <f t="shared" si="80"/>
        <v>2014</v>
      </c>
      <c r="S41" s="2">
        <f t="shared" si="81"/>
        <v>18152.505891190653</v>
      </c>
      <c r="T41" s="2"/>
      <c r="U41" s="2">
        <f t="shared" si="82"/>
        <v>19943.120315250482</v>
      </c>
      <c r="V41" s="2">
        <f t="shared" si="83"/>
        <v>6249.46789707895</v>
      </c>
      <c r="W41" s="2"/>
      <c r="X41" s="2">
        <f t="shared" si="84"/>
        <v>9784.1364449178145</v>
      </c>
      <c r="Y41" s="2">
        <f t="shared" si="85"/>
        <v>17674.433342811499</v>
      </c>
      <c r="Z41" s="2">
        <f t="shared" si="86"/>
        <v>71803.663891249395</v>
      </c>
      <c r="AA41" s="2">
        <f t="shared" si="87"/>
        <v>339.58398890032549</v>
      </c>
      <c r="AB41" s="6">
        <f t="shared" si="88"/>
        <v>4.751813629509322E-3</v>
      </c>
      <c r="AC41" s="7">
        <f t="shared" si="89"/>
        <v>1.0047518136295093</v>
      </c>
      <c r="AD41" s="2">
        <f t="shared" si="90"/>
        <v>0</v>
      </c>
      <c r="AE41" s="2"/>
      <c r="AG41">
        <f t="shared" si="91"/>
        <v>2014</v>
      </c>
      <c r="AH41" s="6">
        <f t="shared" si="92"/>
        <v>0.25280751576526267</v>
      </c>
      <c r="AI41" s="7"/>
      <c r="AJ41" s="6">
        <f t="shared" si="93"/>
        <v>0.27774516277408123</v>
      </c>
      <c r="AK41" s="6">
        <f t="shared" si="94"/>
        <v>8.7035501510676586E-2</v>
      </c>
      <c r="AL41" s="7"/>
      <c r="AM41" s="6">
        <f t="shared" si="95"/>
        <v>0.13626235646883464</v>
      </c>
      <c r="AN41" s="6">
        <f t="shared" si="96"/>
        <v>0.24614946348114494</v>
      </c>
      <c r="AO41" s="55">
        <f t="shared" si="97"/>
        <v>1.0000000000000002</v>
      </c>
      <c r="AP41" s="7">
        <f t="shared" si="98"/>
        <v>0.75385053651885525</v>
      </c>
      <c r="AQ41" s="7">
        <f t="shared" si="99"/>
        <v>0</v>
      </c>
      <c r="AS41">
        <f t="shared" si="33"/>
        <v>2014</v>
      </c>
      <c r="AT41" s="2">
        <f t="shared" si="100"/>
        <v>18152.505891190653</v>
      </c>
      <c r="AU41" s="2"/>
      <c r="AV41" s="2">
        <f t="shared" si="101"/>
        <v>19943.120315250482</v>
      </c>
      <c r="AW41" s="2">
        <f t="shared" si="102"/>
        <v>6249.46789707895</v>
      </c>
      <c r="AX41" s="2"/>
      <c r="AY41" s="2">
        <f t="shared" si="103"/>
        <v>9784.1364449178145</v>
      </c>
      <c r="AZ41" s="2">
        <f t="shared" si="104"/>
        <v>17674.433342811499</v>
      </c>
      <c r="BA41" s="2">
        <f t="shared" si="105"/>
        <v>71803.663891249395</v>
      </c>
      <c r="BB41" s="2">
        <f t="shared" si="106"/>
        <v>0</v>
      </c>
      <c r="BC41" s="2"/>
      <c r="BM41" s="22"/>
      <c r="BN41">
        <f t="shared" si="5"/>
        <v>2014</v>
      </c>
      <c r="BO41" s="1" t="b">
        <f t="shared" si="34"/>
        <v>0</v>
      </c>
      <c r="BQ41" s="1" t="b">
        <f t="shared" si="71"/>
        <v>0</v>
      </c>
      <c r="BR41" s="1" t="b">
        <f t="shared" si="72"/>
        <v>1</v>
      </c>
      <c r="BT41" s="1" t="b">
        <f t="shared" si="60"/>
        <v>0</v>
      </c>
      <c r="BU41" s="1" t="b">
        <f t="shared" si="36"/>
        <v>0</v>
      </c>
      <c r="BV41" s="1" t="b">
        <f t="shared" si="37"/>
        <v>1</v>
      </c>
      <c r="CH41" s="2"/>
    </row>
    <row r="42" spans="1:86" x14ac:dyDescent="0.55000000000000004">
      <c r="A42">
        <f t="shared" ref="A42:A43" si="109">A19</f>
        <v>2015</v>
      </c>
      <c r="B42" s="2">
        <f t="shared" ref="B42:B43" si="110">AT41*(1+(B19/100))</f>
        <v>18379.412214830536</v>
      </c>
      <c r="C42" s="2"/>
      <c r="D42" s="2">
        <f t="shared" ref="D42:D43" si="111">AV41*(1+(D19/100))</f>
        <v>19651.950758647825</v>
      </c>
      <c r="E42" s="2">
        <f t="shared" ref="E42:E43" si="112">AW41*(1+(E19/100))</f>
        <v>6013.2380105693655</v>
      </c>
      <c r="F42" s="2"/>
      <c r="G42" s="2">
        <f t="shared" ref="G42:G43" si="113">AY41*(1+(G19/100))</f>
        <v>9356.5696822749069</v>
      </c>
      <c r="H42" s="2">
        <f t="shared" ref="H42:H43" si="114">AZ41*(1+(H19/100))</f>
        <v>17727.45664283993</v>
      </c>
      <c r="I42" s="2">
        <f t="shared" ref="I42:I43" si="115">SUM(B42:H42)</f>
        <v>71128.627309162563</v>
      </c>
      <c r="J42" s="2">
        <f t="shared" ref="J42:J43" si="116">I42-I41</f>
        <v>-6192.3017820464738</v>
      </c>
      <c r="K42" s="6">
        <f t="shared" ref="K42:K43" si="117">(J42/I41)</f>
        <v>-8.0085713594335278E-2</v>
      </c>
      <c r="L42" s="7">
        <f t="shared" ref="L42:L43" si="118">K42+1</f>
        <v>0.91991428640566475</v>
      </c>
      <c r="N42">
        <f t="shared" ref="N42:N43" si="119">A42</f>
        <v>2015</v>
      </c>
      <c r="O42" s="2">
        <f t="shared" ref="O42:O43" si="120">O41*(1+O19)</f>
        <v>5541.5411668394536</v>
      </c>
      <c r="P42" s="2"/>
      <c r="Q42" s="2"/>
      <c r="R42">
        <f t="shared" ref="R42:R43" si="121">A42</f>
        <v>2015</v>
      </c>
      <c r="S42" s="2">
        <f t="shared" ref="S42:S43" si="122">B42-($O42/5)</f>
        <v>17271.103981462646</v>
      </c>
      <c r="T42" s="2"/>
      <c r="U42" s="2">
        <f t="shared" ref="U42:U43" si="123">D42-($O42/5)</f>
        <v>18543.642525279934</v>
      </c>
      <c r="V42" s="2">
        <f t="shared" ref="V42:V43" si="124">E42-($O42/5)</f>
        <v>4904.9297772014743</v>
      </c>
      <c r="W42" s="2"/>
      <c r="X42" s="2">
        <f t="shared" ref="X42:X43" si="125">G42-($O42/5)</f>
        <v>8248.2614489070165</v>
      </c>
      <c r="Y42" s="2">
        <f t="shared" ref="Y42:Y43" si="126">H42-($O42/5)</f>
        <v>16619.14840947204</v>
      </c>
      <c r="Z42" s="2">
        <f t="shared" ref="Z42:Z43" si="127">SUM(S42:Y42)</f>
        <v>65587.086142323111</v>
      </c>
      <c r="AA42" s="2">
        <f t="shared" ref="AA42:AA43" si="128">Z42-Z41</f>
        <v>-6216.5777489262837</v>
      </c>
      <c r="AB42" s="6">
        <f t="shared" ref="AB42:AB43" si="129">(AA42/Z41)</f>
        <v>-8.6577444827072234E-2</v>
      </c>
      <c r="AC42" s="7">
        <f t="shared" ref="AC42:AC43" si="130">AB42+1</f>
        <v>0.91342255517292781</v>
      </c>
      <c r="AD42" s="2">
        <f t="shared" ref="AD42:AD43" si="131">Z42-(I42-O42)</f>
        <v>0</v>
      </c>
      <c r="AE42" s="2"/>
      <c r="AG42">
        <f t="shared" ref="AG42:AG43" si="132">A42</f>
        <v>2015</v>
      </c>
      <c r="AH42" s="6">
        <f t="shared" ref="AH42:AH43" si="133">S42/$Z42</f>
        <v>0.26333086278577122</v>
      </c>
      <c r="AI42" s="7"/>
      <c r="AJ42" s="6">
        <f t="shared" ref="AJ42:AJ43" si="134">U42/$Z42</f>
        <v>0.2827331356822359</v>
      </c>
      <c r="AK42" s="6">
        <f t="shared" ref="AK42:AK43" si="135">V42/$Z42</f>
        <v>7.4784992987153617E-2</v>
      </c>
      <c r="AL42" s="7"/>
      <c r="AM42" s="6">
        <f t="shared" ref="AM42:AM43" si="136">X42/$Z42</f>
        <v>0.12576044971731778</v>
      </c>
      <c r="AN42" s="6">
        <f t="shared" ref="AN42:AN43" si="137">Y42/$Z42</f>
        <v>0.25339055882752143</v>
      </c>
      <c r="AO42" s="55">
        <f t="shared" ref="AO42:AO43" si="138">SUM(AH42:AN42)</f>
        <v>1</v>
      </c>
      <c r="AP42" s="7">
        <f t="shared" ref="AP42:AP43" si="139">SUM(AH42:AM42)</f>
        <v>0.74660944117247852</v>
      </c>
      <c r="AQ42" s="7">
        <f t="shared" ref="AQ42:AQ43" si="140">AO42-(AP42+AN42)</f>
        <v>0</v>
      </c>
      <c r="AS42">
        <f t="shared" ref="AS42:AS43" si="141">A42</f>
        <v>2015</v>
      </c>
      <c r="AT42" s="2">
        <f t="shared" ref="AT42:AT43" si="142">S42</f>
        <v>17271.103981462646</v>
      </c>
      <c r="AU42" s="2"/>
      <c r="AV42" s="2">
        <f t="shared" ref="AV42:AV43" si="143">U42</f>
        <v>18543.642525279934</v>
      </c>
      <c r="AW42" s="2">
        <f t="shared" ref="AW42:AW43" si="144">V42</f>
        <v>4904.9297772014743</v>
      </c>
      <c r="AX42" s="2"/>
      <c r="AY42" s="2">
        <f t="shared" ref="AY42:AY43" si="145">X42</f>
        <v>8248.2614489070165</v>
      </c>
      <c r="AZ42" s="2">
        <f t="shared" ref="AZ42:AZ43" si="146">Y42</f>
        <v>16619.14840947204</v>
      </c>
      <c r="BA42" s="2">
        <f t="shared" ref="BA42:BA43" si="147">Z42</f>
        <v>65587.086142323111</v>
      </c>
      <c r="BB42" s="2">
        <f t="shared" ref="BB42:BB43" si="148">SUM(AT42:AZ42)-Z42</f>
        <v>0</v>
      </c>
      <c r="BC42" s="2"/>
      <c r="BM42" s="22"/>
      <c r="BO42" s="1"/>
      <c r="BQ42" s="1"/>
      <c r="BR42" s="1"/>
      <c r="BT42" s="1"/>
      <c r="BU42" s="1"/>
      <c r="BV42" s="1"/>
      <c r="CH42" s="2"/>
    </row>
    <row r="43" spans="1:86" x14ac:dyDescent="0.55000000000000004">
      <c r="A43">
        <f t="shared" si="109"/>
        <v>2016</v>
      </c>
      <c r="B43" s="2">
        <f t="shared" si="110"/>
        <v>19312.548472071532</v>
      </c>
      <c r="C43" s="2"/>
      <c r="D43" s="2">
        <f t="shared" si="111"/>
        <v>20596.423752828425</v>
      </c>
      <c r="E43" s="2">
        <f t="shared" si="112"/>
        <v>5796.1555177189821</v>
      </c>
      <c r="F43" s="2"/>
      <c r="G43" s="2">
        <f t="shared" si="113"/>
        <v>8631.805606281192</v>
      </c>
      <c r="H43" s="2">
        <f t="shared" si="114"/>
        <v>17034.627119708839</v>
      </c>
      <c r="I43" s="2">
        <f t="shared" si="115"/>
        <v>71371.560468608965</v>
      </c>
      <c r="J43" s="2">
        <f t="shared" si="116"/>
        <v>242.93315944640199</v>
      </c>
      <c r="K43" s="6">
        <f t="shared" si="117"/>
        <v>3.4154062666004537E-3</v>
      </c>
      <c r="L43" s="7">
        <f t="shared" si="118"/>
        <v>1.0034154062666005</v>
      </c>
      <c r="N43">
        <f t="shared" si="119"/>
        <v>2016</v>
      </c>
      <c r="O43" s="2">
        <f t="shared" si="120"/>
        <v>5635.7473666757242</v>
      </c>
      <c r="P43" s="2"/>
      <c r="Q43" s="2"/>
      <c r="R43">
        <f t="shared" si="121"/>
        <v>2016</v>
      </c>
      <c r="S43" s="2">
        <f t="shared" si="122"/>
        <v>18185.398998736386</v>
      </c>
      <c r="T43" s="2"/>
      <c r="U43" s="2">
        <f t="shared" si="123"/>
        <v>19469.274279493278</v>
      </c>
      <c r="V43" s="2">
        <f t="shared" si="124"/>
        <v>4669.0060443838374</v>
      </c>
      <c r="W43" s="2"/>
      <c r="X43" s="2">
        <f t="shared" si="125"/>
        <v>7504.6561329460474</v>
      </c>
      <c r="Y43" s="2">
        <f t="shared" si="126"/>
        <v>15907.477646373694</v>
      </c>
      <c r="Z43" s="2">
        <f t="shared" si="127"/>
        <v>65735.813101933236</v>
      </c>
      <c r="AA43" s="2">
        <f t="shared" si="128"/>
        <v>148.72695961012505</v>
      </c>
      <c r="AB43" s="6">
        <f t="shared" si="129"/>
        <v>2.267625661664394E-3</v>
      </c>
      <c r="AC43" s="7">
        <f t="shared" si="130"/>
        <v>1.0022676256616645</v>
      </c>
      <c r="AD43" s="2">
        <f t="shared" si="131"/>
        <v>0</v>
      </c>
      <c r="AE43" s="2"/>
      <c r="AG43">
        <f t="shared" si="132"/>
        <v>2016</v>
      </c>
      <c r="AH43" s="6">
        <f t="shared" si="133"/>
        <v>0.27664370668903415</v>
      </c>
      <c r="AI43" s="7"/>
      <c r="AJ43" s="6">
        <f t="shared" si="134"/>
        <v>0.29617454110293345</v>
      </c>
      <c r="AK43" s="6">
        <f t="shared" si="135"/>
        <v>7.1026824253985321E-2</v>
      </c>
      <c r="AL43" s="7"/>
      <c r="AM43" s="6">
        <f t="shared" si="136"/>
        <v>0.11416388995309075</v>
      </c>
      <c r="AN43" s="6">
        <f t="shared" si="137"/>
        <v>0.24199103800095642</v>
      </c>
      <c r="AO43" s="55">
        <f t="shared" si="138"/>
        <v>1.0000000000000002</v>
      </c>
      <c r="AP43" s="7">
        <f t="shared" si="139"/>
        <v>0.75800896199904377</v>
      </c>
      <c r="AQ43" s="7">
        <f t="shared" si="140"/>
        <v>0</v>
      </c>
      <c r="AS43">
        <f t="shared" si="141"/>
        <v>2016</v>
      </c>
      <c r="AT43" s="2">
        <f t="shared" si="142"/>
        <v>18185.398998736386</v>
      </c>
      <c r="AU43" s="2"/>
      <c r="AV43" s="2">
        <f t="shared" si="143"/>
        <v>19469.274279493278</v>
      </c>
      <c r="AW43" s="2">
        <f t="shared" si="144"/>
        <v>4669.0060443838374</v>
      </c>
      <c r="AX43" s="2"/>
      <c r="AY43" s="2">
        <f t="shared" si="145"/>
        <v>7504.6561329460474</v>
      </c>
      <c r="AZ43" s="2">
        <f t="shared" si="146"/>
        <v>15907.477646373694</v>
      </c>
      <c r="BA43" s="2">
        <f t="shared" si="147"/>
        <v>65735.813101933236</v>
      </c>
      <c r="BB43" s="2">
        <f t="shared" si="148"/>
        <v>0</v>
      </c>
      <c r="BC43" s="2"/>
      <c r="BM43" s="22"/>
      <c r="BN43">
        <f t="shared" ref="BN43" si="149">AG43</f>
        <v>2016</v>
      </c>
      <c r="BO43" s="1" t="b">
        <f t="shared" ref="BO43" si="150">AND((S43/$Z43)&gt;0.15,(S43/$Z43)&lt;0.25)</f>
        <v>0</v>
      </c>
      <c r="BQ43" s="1" t="b">
        <f t="shared" ref="BQ43" si="151">AND((U43/$Z43)&gt;0.15,(U43/$Z43)&lt;0.25)</f>
        <v>0</v>
      </c>
      <c r="BR43" s="1" t="b">
        <f t="shared" ref="BR43" si="152">AND((V43/$Z43)&gt;0.05,(V43/$Z43)&lt;0.15)</f>
        <v>1</v>
      </c>
      <c r="BT43" s="1" t="b">
        <f t="shared" ref="BT43" si="153">AND((X43/$Z43)&gt;0.15,(X43/$Z43)&lt;0.25)</f>
        <v>0</v>
      </c>
      <c r="BU43" s="1" t="b">
        <f t="shared" ref="BU43" si="154">AND((Y43/$Z43)&gt;0.25,(Y43/$Z43)&lt;0.35)</f>
        <v>0</v>
      </c>
      <c r="BV43" s="1" t="b">
        <f t="shared" ref="BV43" si="155">AND((Z43/$Z43)&gt;0.999,(Z43/$Z43)&lt;1.01)</f>
        <v>1</v>
      </c>
      <c r="CH43" s="2"/>
    </row>
    <row r="44" spans="1:86" x14ac:dyDescent="0.55000000000000004">
      <c r="A44" s="9" t="s">
        <v>41</v>
      </c>
      <c r="B44" s="10">
        <f>AT43</f>
        <v>18185.398998736386</v>
      </c>
      <c r="C44" s="10"/>
      <c r="D44" s="10">
        <f>AV43</f>
        <v>19469.274279493278</v>
      </c>
      <c r="E44" s="10">
        <f>AW43</f>
        <v>4669.0060443838374</v>
      </c>
      <c r="F44" s="10"/>
      <c r="G44" s="10">
        <f>AY43</f>
        <v>7504.6561329460474</v>
      </c>
      <c r="H44" s="10">
        <f>AZ43</f>
        <v>15907.477646373694</v>
      </c>
      <c r="I44" s="10">
        <f>SUM(B44:H44)</f>
        <v>65735.813101933236</v>
      </c>
      <c r="J44" s="10"/>
      <c r="K44" s="10"/>
      <c r="N44" t="s">
        <v>69</v>
      </c>
      <c r="O44" s="2">
        <f>O41</f>
        <v>5517.265199959631</v>
      </c>
      <c r="P44" s="2"/>
      <c r="R44" s="9" t="s">
        <v>41</v>
      </c>
      <c r="S44" s="10">
        <f>S43</f>
        <v>18185.398998736386</v>
      </c>
      <c r="T44" s="10"/>
      <c r="U44" s="10">
        <f>U43</f>
        <v>19469.274279493278</v>
      </c>
      <c r="V44" s="10">
        <f>V43</f>
        <v>4669.0060443838374</v>
      </c>
      <c r="W44" s="10"/>
      <c r="X44" s="10">
        <f>X43</f>
        <v>7504.6561329460474</v>
      </c>
      <c r="Y44" s="10">
        <f>Y43</f>
        <v>15907.477646373694</v>
      </c>
      <c r="Z44" s="10">
        <f>SUM(S44:Y44)</f>
        <v>65735.813101933236</v>
      </c>
      <c r="AA44" s="40"/>
      <c r="AB44" s="40"/>
      <c r="AC44" s="40"/>
      <c r="AD44" s="40"/>
      <c r="AE44" s="40"/>
      <c r="AK44" s="7"/>
    </row>
    <row r="45" spans="1:86" x14ac:dyDescent="0.55000000000000004">
      <c r="A45" s="11" t="s">
        <v>28</v>
      </c>
      <c r="I45" s="6">
        <f>(Z44-Z26)/Z26</f>
        <v>-0.34264186898066762</v>
      </c>
      <c r="K45" s="6"/>
      <c r="N45" t="s">
        <v>115</v>
      </c>
      <c r="O45" s="2">
        <f>SUM(O27:O43)</f>
        <v>83469.67485706025</v>
      </c>
      <c r="P45" s="2"/>
    </row>
    <row r="46" spans="1:86" x14ac:dyDescent="0.55000000000000004">
      <c r="A46" s="1" t="s">
        <v>29</v>
      </c>
      <c r="I46" s="12">
        <f>STDEV(AC27:AC43)</f>
        <v>0.10826701571984607</v>
      </c>
    </row>
    <row r="47" spans="1:86" x14ac:dyDescent="0.55000000000000004">
      <c r="A47" s="1" t="s">
        <v>30</v>
      </c>
      <c r="I47" s="13">
        <f>((1+I45)^(1/16))-1</f>
        <v>-2.5879624612768271E-2</v>
      </c>
    </row>
    <row r="48" spans="1:86" x14ac:dyDescent="0.55000000000000004">
      <c r="A48" s="1" t="s">
        <v>45</v>
      </c>
      <c r="I48" s="28">
        <f>AA35</f>
        <v>-34260.543838615486</v>
      </c>
      <c r="O48" s="2"/>
      <c r="P48" s="2"/>
    </row>
    <row r="49" spans="1:9" x14ac:dyDescent="0.55000000000000004">
      <c r="A49" s="1" t="s">
        <v>46</v>
      </c>
      <c r="I49" s="29">
        <f>AB35</f>
        <v>-0.34686427959949512</v>
      </c>
    </row>
    <row r="50" spans="1:9" x14ac:dyDescent="0.55000000000000004">
      <c r="A50" s="1" t="s">
        <v>22</v>
      </c>
      <c r="I50" s="2">
        <f>O45</f>
        <v>83469.67485706025</v>
      </c>
    </row>
    <row r="51" spans="1:9" x14ac:dyDescent="0.55000000000000004">
      <c r="A51" s="3" t="s">
        <v>148</v>
      </c>
      <c r="B51" s="3"/>
      <c r="C51" s="3"/>
      <c r="D51" s="3"/>
      <c r="E51" s="3"/>
      <c r="F51" s="3"/>
      <c r="G51" s="3"/>
      <c r="H51" s="3"/>
      <c r="I51" s="30">
        <f>I44-Z44</f>
        <v>0</v>
      </c>
    </row>
    <row r="52" spans="1:9" x14ac:dyDescent="0.55000000000000004">
      <c r="A52" s="3" t="s">
        <v>149</v>
      </c>
      <c r="B52" s="3"/>
      <c r="C52" s="3"/>
      <c r="D52" s="3"/>
      <c r="E52" s="3"/>
      <c r="F52" s="3"/>
      <c r="G52" s="3"/>
      <c r="H52" s="3"/>
      <c r="I52" s="30">
        <f>((SUM(AA27:AA43)))-(I44-I26)</f>
        <v>0</v>
      </c>
    </row>
    <row r="53" spans="1:9" x14ac:dyDescent="0.55000000000000004">
      <c r="A53" s="3" t="s">
        <v>150</v>
      </c>
      <c r="B53" s="3"/>
      <c r="C53" s="3"/>
      <c r="D53" s="3"/>
      <c r="E53" s="3"/>
      <c r="F53" s="3"/>
      <c r="G53" s="3"/>
      <c r="H53" s="3"/>
      <c r="I53" s="30">
        <f>(SUM(O27:O43))-O45</f>
        <v>0</v>
      </c>
    </row>
    <row r="54" spans="1:9" x14ac:dyDescent="0.55000000000000004">
      <c r="A54" s="3" t="s">
        <v>156</v>
      </c>
      <c r="B54" s="3"/>
      <c r="C54" s="3"/>
      <c r="D54" s="3"/>
      <c r="E54" s="3"/>
      <c r="F54" s="3"/>
      <c r="G54" s="3"/>
      <c r="H54" s="3"/>
      <c r="I54" s="66">
        <f>COUNTA(I27:I43)</f>
        <v>17</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E24" sqref="E24"/>
    </sheetView>
  </sheetViews>
  <sheetFormatPr defaultColWidth="8.83984375" defaultRowHeight="14.4" x14ac:dyDescent="0.55000000000000004"/>
  <cols>
    <col min="2" max="2" width="15.83984375" customWidth="1"/>
    <col min="3" max="3" width="14.68359375" customWidth="1"/>
    <col min="4" max="4" width="13.41796875" customWidth="1"/>
  </cols>
  <sheetData>
    <row r="1" spans="1:4" ht="43.2" x14ac:dyDescent="0.55000000000000004">
      <c r="B1" s="8" t="str">
        <f>Summary!B5</f>
        <v>Rebalance at 5% Thresholds</v>
      </c>
      <c r="C1" s="8" t="str">
        <f>Summary!C5</f>
        <v>No Rebalancing</v>
      </c>
      <c r="D1" s="8" t="str">
        <f>Summary!D5</f>
        <v>Panic and Sell When S&amp;P 500 Falls &gt; 20%</v>
      </c>
    </row>
    <row r="2" spans="1:4" x14ac:dyDescent="0.55000000000000004">
      <c r="A2" t="str">
        <f>'Rebalanced Portfolio'!A26</f>
        <v>Stating Balance</v>
      </c>
      <c r="B2" s="62">
        <f>'Rebalanced Portfolio'!I26</f>
        <v>100000</v>
      </c>
      <c r="C2" s="2">
        <f>'Non-Rebalanced Portfolio'!I26</f>
        <v>100000</v>
      </c>
      <c r="D2" s="62">
        <f>'Panic Portfolio'!I26</f>
        <v>100000</v>
      </c>
    </row>
    <row r="3" spans="1:4" x14ac:dyDescent="0.55000000000000004">
      <c r="A3">
        <f>'Rebalanced Portfolio'!A27</f>
        <v>2000</v>
      </c>
      <c r="B3" s="62">
        <f>'Rebalanced Portfolio'!I27</f>
        <v>101835.3</v>
      </c>
      <c r="C3" s="2">
        <f>'Non-Rebalanced Portfolio'!I27</f>
        <v>101835.3</v>
      </c>
      <c r="D3" s="62">
        <f>'Panic Portfolio'!I27</f>
        <v>101835.3</v>
      </c>
    </row>
    <row r="4" spans="1:4" x14ac:dyDescent="0.55000000000000004">
      <c r="A4">
        <f>'Rebalanced Portfolio'!A28</f>
        <v>2001</v>
      </c>
      <c r="B4" s="62">
        <f>'Rebalanced Portfolio'!I28</f>
        <v>99248.770080000002</v>
      </c>
      <c r="C4" s="2">
        <f>'Non-Rebalanced Portfolio'!I28</f>
        <v>99248.770080000002</v>
      </c>
      <c r="D4" s="62">
        <f>'Panic Portfolio'!I28</f>
        <v>99248.770080000002</v>
      </c>
    </row>
    <row r="5" spans="1:4" x14ac:dyDescent="0.55000000000000004">
      <c r="A5">
        <f>'Rebalanced Portfolio'!A29</f>
        <v>2002</v>
      </c>
      <c r="B5" s="62">
        <f>'Rebalanced Portfolio'!I29</f>
        <v>89430.684748606087</v>
      </c>
      <c r="C5" s="2">
        <f>'Non-Rebalanced Portfolio'!I29</f>
        <v>91222.338555274619</v>
      </c>
      <c r="D5" s="62">
        <f>'Panic Portfolio'!I29</f>
        <v>91222.338555274619</v>
      </c>
    </row>
    <row r="6" spans="1:4" x14ac:dyDescent="0.55000000000000004">
      <c r="A6">
        <f>'Rebalanced Portfolio'!A30</f>
        <v>2003</v>
      </c>
      <c r="B6" s="62">
        <f>'Rebalanced Portfolio'!I30</f>
        <v>111323.05157140639</v>
      </c>
      <c r="C6" s="2">
        <f>'Non-Rebalanced Portfolio'!I30</f>
        <v>111460.18051683245</v>
      </c>
      <c r="D6" s="62">
        <f>'Panic Portfolio'!I30</f>
        <v>94843.865395919027</v>
      </c>
    </row>
    <row r="7" spans="1:4" x14ac:dyDescent="0.55000000000000004">
      <c r="A7">
        <f>'Rebalanced Portfolio'!A31</f>
        <v>2004</v>
      </c>
      <c r="B7" s="62">
        <f>'Rebalanced Portfolio'!I31</f>
        <v>126733.48205658728</v>
      </c>
      <c r="C7" s="2">
        <f>'Non-Rebalanced Portfolio'!I31</f>
        <v>126059.70187705757</v>
      </c>
      <c r="D7" s="62">
        <f>'Panic Portfolio'!I31</f>
        <v>107787.87161355787</v>
      </c>
    </row>
    <row r="8" spans="1:4" x14ac:dyDescent="0.55000000000000004">
      <c r="A8">
        <f>'Rebalanced Portfolio'!A32</f>
        <v>2005</v>
      </c>
      <c r="B8" s="62">
        <f>'Rebalanced Portfolio'!I32</f>
        <v>137904.41028279898</v>
      </c>
      <c r="C8" s="2">
        <f>'Non-Rebalanced Portfolio'!I32</f>
        <v>136492.7119360606</v>
      </c>
      <c r="D8" s="62">
        <f>'Panic Portfolio'!I32</f>
        <v>117088.42262175484</v>
      </c>
    </row>
    <row r="9" spans="1:4" x14ac:dyDescent="0.55000000000000004">
      <c r="A9">
        <f>'Rebalanced Portfolio'!A33</f>
        <v>2006</v>
      </c>
      <c r="B9" s="62">
        <f>'Rebalanced Portfolio'!I33</f>
        <v>158403.5956572069</v>
      </c>
      <c r="C9" s="2">
        <f>'Non-Rebalanced Portfolio'!I33</f>
        <v>154605.01203264075</v>
      </c>
      <c r="D9" s="62">
        <f>'Panic Portfolio'!I33</f>
        <v>134331.54139487573</v>
      </c>
    </row>
    <row r="10" spans="1:4" x14ac:dyDescent="0.55000000000000004">
      <c r="A10">
        <f>'Rebalanced Portfolio'!A34</f>
        <v>2007</v>
      </c>
      <c r="B10" s="62">
        <f>'Rebalanced Portfolio'!I34</f>
        <v>170407.73694330134</v>
      </c>
      <c r="C10" s="2">
        <f>'Non-Rebalanced Portfolio'!I34</f>
        <v>166038.22694310365</v>
      </c>
      <c r="D10" s="62">
        <f>'Panic Portfolio'!I34</f>
        <v>145044.06790718262</v>
      </c>
    </row>
    <row r="11" spans="1:4" x14ac:dyDescent="0.55000000000000004">
      <c r="A11">
        <f>'Rebalanced Portfolio'!A35</f>
        <v>2008</v>
      </c>
      <c r="B11" s="62">
        <f>'Rebalanced Portfolio'!I35</f>
        <v>124645.49166445051</v>
      </c>
      <c r="C11" s="2">
        <f>'Non-Rebalanced Portfolio'!I35</f>
        <v>120697.32648368151</v>
      </c>
      <c r="D11" s="62">
        <f>'Panic Portfolio'!I35</f>
        <v>101480.20112478733</v>
      </c>
    </row>
    <row r="12" spans="1:4" x14ac:dyDescent="0.55000000000000004">
      <c r="A12">
        <f>'Rebalanced Portfolio'!A36</f>
        <v>2009</v>
      </c>
      <c r="B12" s="62">
        <f>'Rebalanced Portfolio'!I36</f>
        <v>157150.2936897226</v>
      </c>
      <c r="C12" s="2">
        <f>'Non-Rebalanced Portfolio'!I36</f>
        <v>148699.02914266271</v>
      </c>
      <c r="D12" s="62">
        <f>'Panic Portfolio'!I36</f>
        <v>107497.97705148721</v>
      </c>
    </row>
    <row r="13" spans="1:4" x14ac:dyDescent="0.55000000000000004">
      <c r="A13">
        <f>'Rebalanced Portfolio'!A37</f>
        <v>2010</v>
      </c>
      <c r="B13" s="62">
        <f>'Rebalanced Portfolio'!I37</f>
        <v>181787.77591755227</v>
      </c>
      <c r="C13" s="2">
        <f>'Non-Rebalanced Portfolio'!I37</f>
        <v>171122.46382309133</v>
      </c>
      <c r="D13" s="62">
        <f>'Panic Portfolio'!I37</f>
        <v>123618.37369012824</v>
      </c>
    </row>
    <row r="14" spans="1:4" x14ac:dyDescent="0.55000000000000004">
      <c r="A14">
        <f>'Rebalanced Portfolio'!A38</f>
        <v>2011</v>
      </c>
      <c r="B14" s="62">
        <f>'Rebalanced Portfolio'!I38</f>
        <v>180057.15629081719</v>
      </c>
      <c r="C14" s="2">
        <f>'Non-Rebalanced Portfolio'!I38</f>
        <v>170310.87851001587</v>
      </c>
      <c r="D14" s="62">
        <f>'Panic Portfolio'!I38</f>
        <v>122267.63946389305</v>
      </c>
    </row>
    <row r="15" spans="1:4" x14ac:dyDescent="0.55000000000000004">
      <c r="A15">
        <f>'Rebalanced Portfolio'!A39</f>
        <v>2012</v>
      </c>
      <c r="B15" s="62">
        <f>'Rebalanced Portfolio'!I39</f>
        <v>202743.83443466548</v>
      </c>
      <c r="C15" s="2">
        <f>'Non-Rebalanced Portfolio'!I39</f>
        <v>190943.33246328583</v>
      </c>
      <c r="D15" s="62">
        <f>'Panic Portfolio'!I39</f>
        <v>138030.09662789985</v>
      </c>
    </row>
    <row r="16" spans="1:4" x14ac:dyDescent="0.55000000000000004">
      <c r="A16">
        <f>'Rebalanced Portfolio'!A40</f>
        <v>2013</v>
      </c>
      <c r="B16" s="62">
        <f>'Rebalanced Portfolio'!I40</f>
        <v>242973.03281261772</v>
      </c>
      <c r="C16" s="2">
        <f>'Non-Rebalanced Portfolio'!I40</f>
        <v>228090.09267375901</v>
      </c>
      <c r="D16" s="62">
        <f>'Panic Portfolio'!I40</f>
        <v>166805.92382634431</v>
      </c>
    </row>
    <row r="17" spans="1:4" x14ac:dyDescent="0.55000000000000004">
      <c r="A17">
        <f>'Rebalanced Portfolio'!A41</f>
        <v>2014</v>
      </c>
      <c r="B17" s="62">
        <f>'Rebalanced Portfolio'!I41</f>
        <v>260075.90459229791</v>
      </c>
      <c r="C17" s="2">
        <f>'Non-Rebalanced Portfolio'!I41</f>
        <v>246455.22535479546</v>
      </c>
      <c r="D17" s="62">
        <f>'Panic Portfolio'!I41</f>
        <v>180213.90493143786</v>
      </c>
    </row>
    <row r="18" spans="1:4" x14ac:dyDescent="0.55000000000000004">
      <c r="A18">
        <f>'Rebalanced Portfolio'!A42</f>
        <v>2015</v>
      </c>
      <c r="B18" s="62">
        <f>'Rebalanced Portfolio'!I42</f>
        <v>257171.03077958533</v>
      </c>
      <c r="C18" s="2">
        <f>'Non-Rebalanced Portfolio'!I42</f>
        <v>243351.10286638309</v>
      </c>
      <c r="D18" s="62">
        <f>'Panic Portfolio'!I42</f>
        <v>178154.85381772491</v>
      </c>
    </row>
    <row r="19" spans="1:4" x14ac:dyDescent="0.55000000000000004">
      <c r="A19">
        <f>'Rebalanced Portfolio'!A43</f>
        <v>2016</v>
      </c>
      <c r="B19" s="62">
        <f>'Rebalanced Portfolio'!I43</f>
        <v>278357.55094711116</v>
      </c>
      <c r="C19" s="2">
        <f>'Non-Rebalanced Portfolio'!I43</f>
        <v>265216.93682286551</v>
      </c>
      <c r="D19" s="62">
        <f>'Panic Portfolio'!I43</f>
        <v>194755.41649772259</v>
      </c>
    </row>
    <row r="20" spans="1:4" x14ac:dyDescent="0.55000000000000004">
      <c r="B20" s="62"/>
      <c r="C20" s="2"/>
      <c r="D20" s="62"/>
    </row>
    <row r="21" spans="1:4" x14ac:dyDescent="0.55000000000000004">
      <c r="B21" s="2"/>
      <c r="C21" s="2"/>
      <c r="D21" s="62"/>
    </row>
    <row r="22" spans="1:4" x14ac:dyDescent="0.55000000000000004">
      <c r="B22" s="2"/>
      <c r="C22" s="2"/>
      <c r="D22" s="62"/>
    </row>
    <row r="23" spans="1:4" x14ac:dyDescent="0.55000000000000004">
      <c r="B23" s="2"/>
      <c r="C23" s="2"/>
      <c r="D23" s="62"/>
    </row>
    <row r="24" spans="1:4" x14ac:dyDescent="0.55000000000000004">
      <c r="B24" s="2"/>
      <c r="C24" s="2"/>
      <c r="D24" s="62"/>
    </row>
    <row r="25" spans="1:4" x14ac:dyDescent="0.55000000000000004">
      <c r="B25" s="2"/>
      <c r="C25" s="2"/>
      <c r="D25" s="62"/>
    </row>
    <row r="26" spans="1:4" x14ac:dyDescent="0.55000000000000004">
      <c r="B26" s="2"/>
      <c r="C26" s="2"/>
      <c r="D26" s="62"/>
    </row>
    <row r="27" spans="1:4" x14ac:dyDescent="0.55000000000000004">
      <c r="B27" s="2"/>
      <c r="C27" s="2"/>
      <c r="D27" s="62"/>
    </row>
    <row r="28" spans="1:4" x14ac:dyDescent="0.55000000000000004">
      <c r="B28" s="2"/>
      <c r="C28" s="2"/>
      <c r="D28" s="62"/>
    </row>
    <row r="29" spans="1:4" x14ac:dyDescent="0.55000000000000004">
      <c r="B29" s="2"/>
      <c r="C29" s="2"/>
      <c r="D29" s="62"/>
    </row>
    <row r="30" spans="1:4" x14ac:dyDescent="0.55000000000000004">
      <c r="B30" s="2"/>
      <c r="C30" s="2"/>
      <c r="D30" s="62"/>
    </row>
    <row r="31" spans="1:4" x14ac:dyDescent="0.55000000000000004">
      <c r="B31" s="2"/>
      <c r="C31" s="2"/>
      <c r="D31" s="62"/>
    </row>
    <row r="32" spans="1:4" x14ac:dyDescent="0.55000000000000004">
      <c r="B32" s="2"/>
      <c r="C32" s="2"/>
      <c r="D32"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25" workbookViewId="0">
      <selection activeCell="A33" sqref="A33:D40"/>
    </sheetView>
  </sheetViews>
  <sheetFormatPr defaultColWidth="8.83984375" defaultRowHeight="14.4" x14ac:dyDescent="0.55000000000000004"/>
  <sheetData>
    <row r="1" spans="1:2" x14ac:dyDescent="0.55000000000000004">
      <c r="A1" s="18" t="s">
        <v>53</v>
      </c>
    </row>
    <row r="3" spans="1:2" x14ac:dyDescent="0.55000000000000004">
      <c r="A3" t="s">
        <v>23</v>
      </c>
    </row>
    <row r="5" spans="1:2" x14ac:dyDescent="0.55000000000000004">
      <c r="A5" s="34" t="s">
        <v>56</v>
      </c>
    </row>
    <row r="6" spans="1:2" x14ac:dyDescent="0.55000000000000004">
      <c r="A6" t="s">
        <v>62</v>
      </c>
    </row>
    <row r="7" spans="1:2" x14ac:dyDescent="0.55000000000000004">
      <c r="A7" t="s">
        <v>63</v>
      </c>
    </row>
    <row r="8" spans="1:2" x14ac:dyDescent="0.55000000000000004">
      <c r="A8" t="s">
        <v>57</v>
      </c>
    </row>
    <row r="9" spans="1:2" x14ac:dyDescent="0.55000000000000004">
      <c r="A9" s="32" t="s">
        <v>58</v>
      </c>
    </row>
    <row r="10" spans="1:2" x14ac:dyDescent="0.55000000000000004">
      <c r="A10" s="32" t="s">
        <v>76</v>
      </c>
    </row>
    <row r="12" spans="1:2" x14ac:dyDescent="0.55000000000000004">
      <c r="A12" s="34" t="s">
        <v>78</v>
      </c>
    </row>
    <row r="13" spans="1:2" x14ac:dyDescent="0.55000000000000004">
      <c r="A13" s="32" t="s">
        <v>77</v>
      </c>
      <c r="B13" s="32"/>
    </row>
    <row r="14" spans="1:2" x14ac:dyDescent="0.55000000000000004">
      <c r="A14" s="33">
        <v>0.2</v>
      </c>
      <c r="B14" s="32" t="s">
        <v>111</v>
      </c>
    </row>
    <row r="15" spans="1:2" x14ac:dyDescent="0.55000000000000004">
      <c r="A15" s="33">
        <v>0.2</v>
      </c>
      <c r="B15" s="32" t="s">
        <v>112</v>
      </c>
    </row>
    <row r="16" spans="1:2" x14ac:dyDescent="0.55000000000000004">
      <c r="A16" s="33">
        <v>0.1</v>
      </c>
      <c r="B16" s="32" t="s">
        <v>113</v>
      </c>
    </row>
    <row r="17" spans="1:2" x14ac:dyDescent="0.55000000000000004">
      <c r="A17" s="33">
        <v>0.15</v>
      </c>
      <c r="B17" s="32" t="s">
        <v>114</v>
      </c>
    </row>
    <row r="18" spans="1:2" x14ac:dyDescent="0.55000000000000004">
      <c r="A18" s="33">
        <v>0.05</v>
      </c>
      <c r="B18" s="32" t="s">
        <v>88</v>
      </c>
    </row>
    <row r="19" spans="1:2" x14ac:dyDescent="0.55000000000000004">
      <c r="A19" s="33">
        <v>0.3</v>
      </c>
      <c r="B19" s="32" t="s">
        <v>108</v>
      </c>
    </row>
    <row r="20" spans="1:2" x14ac:dyDescent="0.55000000000000004">
      <c r="A20" s="33">
        <f>SUM(A14:A19)</f>
        <v>1</v>
      </c>
      <c r="B20" s="32" t="s">
        <v>115</v>
      </c>
    </row>
    <row r="22" spans="1:2" x14ac:dyDescent="0.55000000000000004">
      <c r="A22" s="34" t="s">
        <v>79</v>
      </c>
    </row>
    <row r="23" spans="1:2" x14ac:dyDescent="0.55000000000000004">
      <c r="A23" t="s">
        <v>80</v>
      </c>
    </row>
    <row r="24" spans="1:2" x14ac:dyDescent="0.55000000000000004">
      <c r="A24" t="s">
        <v>81</v>
      </c>
    </row>
    <row r="25" spans="1:2" x14ac:dyDescent="0.55000000000000004">
      <c r="A25" t="s">
        <v>72</v>
      </c>
    </row>
    <row r="27" spans="1:2" x14ac:dyDescent="0.55000000000000004">
      <c r="A27" s="44" t="s">
        <v>82</v>
      </c>
    </row>
    <row r="28" spans="1:2" x14ac:dyDescent="0.55000000000000004">
      <c r="A28" t="s">
        <v>83</v>
      </c>
    </row>
    <row r="29" spans="1:2" x14ac:dyDescent="0.55000000000000004">
      <c r="A29" t="s">
        <v>84</v>
      </c>
    </row>
    <row r="30" spans="1:2" x14ac:dyDescent="0.55000000000000004">
      <c r="A30" t="s">
        <v>85</v>
      </c>
    </row>
    <row r="31" spans="1:2" x14ac:dyDescent="0.55000000000000004">
      <c r="A31" t="s">
        <v>86</v>
      </c>
    </row>
    <row r="33" spans="1:1" x14ac:dyDescent="0.55000000000000004">
      <c r="A33" s="44" t="s">
        <v>147</v>
      </c>
    </row>
    <row r="34" spans="1:1" x14ac:dyDescent="0.55000000000000004">
      <c r="A34" s="45" t="s">
        <v>146</v>
      </c>
    </row>
    <row r="35" spans="1:1" x14ac:dyDescent="0.55000000000000004">
      <c r="A35" t="s">
        <v>24</v>
      </c>
    </row>
    <row r="36" spans="1:1" x14ac:dyDescent="0.55000000000000004">
      <c r="A36" t="s">
        <v>153</v>
      </c>
    </row>
    <row r="37" spans="1:1" x14ac:dyDescent="0.55000000000000004">
      <c r="A37" t="s">
        <v>154</v>
      </c>
    </row>
    <row r="38" spans="1:1" x14ac:dyDescent="0.55000000000000004">
      <c r="A38" t="s">
        <v>155</v>
      </c>
    </row>
    <row r="40" spans="1:1" x14ac:dyDescent="0.55000000000000004">
      <c r="A40" t="s">
        <v>48</v>
      </c>
    </row>
  </sheetData>
  <phoneticPr fontId="10" type="noConversion"/>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G1" sqref="G1"/>
    </sheetView>
  </sheetViews>
  <sheetFormatPr defaultColWidth="12.41796875" defaultRowHeight="14.4" x14ac:dyDescent="0.55000000000000004"/>
  <cols>
    <col min="1" max="1" width="30.15625" customWidth="1"/>
    <col min="2" max="3" width="14.83984375" customWidth="1"/>
    <col min="4" max="4" width="15.83984375" customWidth="1"/>
    <col min="5" max="5" width="10.41796875" customWidth="1"/>
    <col min="254" max="254" width="50.15625" customWidth="1"/>
    <col min="255" max="255" width="14.83984375" customWidth="1"/>
    <col min="256" max="256" width="15.83984375" customWidth="1"/>
    <col min="510" max="510" width="50.15625" customWidth="1"/>
    <col min="511" max="511" width="14.83984375" customWidth="1"/>
    <col min="512" max="512" width="15.83984375" customWidth="1"/>
    <col min="766" max="766" width="50.15625" customWidth="1"/>
    <col min="767" max="767" width="14.83984375" customWidth="1"/>
    <col min="768" max="768" width="15.83984375" customWidth="1"/>
    <col min="1022" max="1022" width="50.15625" customWidth="1"/>
    <col min="1023" max="1023" width="14.83984375" customWidth="1"/>
    <col min="1024" max="1024" width="15.83984375" customWidth="1"/>
    <col min="1278" max="1278" width="50.15625" customWidth="1"/>
    <col min="1279" max="1279" width="14.83984375" customWidth="1"/>
    <col min="1280" max="1280" width="15.83984375" customWidth="1"/>
    <col min="1534" max="1534" width="50.15625" customWidth="1"/>
    <col min="1535" max="1535" width="14.83984375" customWidth="1"/>
    <col min="1536" max="1536" width="15.83984375" customWidth="1"/>
    <col min="1790" max="1790" width="50.15625" customWidth="1"/>
    <col min="1791" max="1791" width="14.83984375" customWidth="1"/>
    <col min="1792" max="1792" width="15.83984375" customWidth="1"/>
    <col min="2046" max="2046" width="50.15625" customWidth="1"/>
    <col min="2047" max="2047" width="14.83984375" customWidth="1"/>
    <col min="2048" max="2048" width="15.83984375" customWidth="1"/>
    <col min="2302" max="2302" width="50.15625" customWidth="1"/>
    <col min="2303" max="2303" width="14.83984375" customWidth="1"/>
    <col min="2304" max="2304" width="15.83984375" customWidth="1"/>
    <col min="2558" max="2558" width="50.15625" customWidth="1"/>
    <col min="2559" max="2559" width="14.83984375" customWidth="1"/>
    <col min="2560" max="2560" width="15.83984375" customWidth="1"/>
    <col min="2814" max="2814" width="50.15625" customWidth="1"/>
    <col min="2815" max="2815" width="14.83984375" customWidth="1"/>
    <col min="2816" max="2816" width="15.83984375" customWidth="1"/>
    <col min="3070" max="3070" width="50.15625" customWidth="1"/>
    <col min="3071" max="3071" width="14.83984375" customWidth="1"/>
    <col min="3072" max="3072" width="15.83984375" customWidth="1"/>
    <col min="3326" max="3326" width="50.15625" customWidth="1"/>
    <col min="3327" max="3327" width="14.83984375" customWidth="1"/>
    <col min="3328" max="3328" width="15.83984375" customWidth="1"/>
    <col min="3582" max="3582" width="50.15625" customWidth="1"/>
    <col min="3583" max="3583" width="14.83984375" customWidth="1"/>
    <col min="3584" max="3584" width="15.83984375" customWidth="1"/>
    <col min="3838" max="3838" width="50.15625" customWidth="1"/>
    <col min="3839" max="3839" width="14.83984375" customWidth="1"/>
    <col min="3840" max="3840" width="15.83984375" customWidth="1"/>
    <col min="4094" max="4094" width="50.15625" customWidth="1"/>
    <col min="4095" max="4095" width="14.83984375" customWidth="1"/>
    <col min="4096" max="4096" width="15.83984375" customWidth="1"/>
    <col min="4350" max="4350" width="50.15625" customWidth="1"/>
    <col min="4351" max="4351" width="14.83984375" customWidth="1"/>
    <col min="4352" max="4352" width="15.83984375" customWidth="1"/>
    <col min="4606" max="4606" width="50.15625" customWidth="1"/>
    <col min="4607" max="4607" width="14.83984375" customWidth="1"/>
    <col min="4608" max="4608" width="15.83984375" customWidth="1"/>
    <col min="4862" max="4862" width="50.15625" customWidth="1"/>
    <col min="4863" max="4863" width="14.83984375" customWidth="1"/>
    <col min="4864" max="4864" width="15.83984375" customWidth="1"/>
    <col min="5118" max="5118" width="50.15625" customWidth="1"/>
    <col min="5119" max="5119" width="14.83984375" customWidth="1"/>
    <col min="5120" max="5120" width="15.83984375" customWidth="1"/>
    <col min="5374" max="5374" width="50.15625" customWidth="1"/>
    <col min="5375" max="5375" width="14.83984375" customWidth="1"/>
    <col min="5376" max="5376" width="15.83984375" customWidth="1"/>
    <col min="5630" max="5630" width="50.15625" customWidth="1"/>
    <col min="5631" max="5631" width="14.83984375" customWidth="1"/>
    <col min="5632" max="5632" width="15.83984375" customWidth="1"/>
    <col min="5886" max="5886" width="50.15625" customWidth="1"/>
    <col min="5887" max="5887" width="14.83984375" customWidth="1"/>
    <col min="5888" max="5888" width="15.83984375" customWidth="1"/>
    <col min="6142" max="6142" width="50.15625" customWidth="1"/>
    <col min="6143" max="6143" width="14.83984375" customWidth="1"/>
    <col min="6144" max="6144" width="15.83984375" customWidth="1"/>
    <col min="6398" max="6398" width="50.15625" customWidth="1"/>
    <col min="6399" max="6399" width="14.83984375" customWidth="1"/>
    <col min="6400" max="6400" width="15.83984375" customWidth="1"/>
    <col min="6654" max="6654" width="50.15625" customWidth="1"/>
    <col min="6655" max="6655" width="14.83984375" customWidth="1"/>
    <col min="6656" max="6656" width="15.83984375" customWidth="1"/>
    <col min="6910" max="6910" width="50.15625" customWidth="1"/>
    <col min="6911" max="6911" width="14.83984375" customWidth="1"/>
    <col min="6912" max="6912" width="15.83984375" customWidth="1"/>
    <col min="7166" max="7166" width="50.15625" customWidth="1"/>
    <col min="7167" max="7167" width="14.83984375" customWidth="1"/>
    <col min="7168" max="7168" width="15.83984375" customWidth="1"/>
    <col min="7422" max="7422" width="50.15625" customWidth="1"/>
    <col min="7423" max="7423" width="14.83984375" customWidth="1"/>
    <col min="7424" max="7424" width="15.83984375" customWidth="1"/>
    <col min="7678" max="7678" width="50.15625" customWidth="1"/>
    <col min="7679" max="7679" width="14.83984375" customWidth="1"/>
    <col min="7680" max="7680" width="15.83984375" customWidth="1"/>
    <col min="7934" max="7934" width="50.15625" customWidth="1"/>
    <col min="7935" max="7935" width="14.83984375" customWidth="1"/>
    <col min="7936" max="7936" width="15.83984375" customWidth="1"/>
    <col min="8190" max="8190" width="50.15625" customWidth="1"/>
    <col min="8191" max="8191" width="14.83984375" customWidth="1"/>
    <col min="8192" max="8192" width="15.83984375" customWidth="1"/>
    <col min="8446" max="8446" width="50.15625" customWidth="1"/>
    <col min="8447" max="8447" width="14.83984375" customWidth="1"/>
    <col min="8448" max="8448" width="15.83984375" customWidth="1"/>
    <col min="8702" max="8702" width="50.15625" customWidth="1"/>
    <col min="8703" max="8703" width="14.83984375" customWidth="1"/>
    <col min="8704" max="8704" width="15.83984375" customWidth="1"/>
    <col min="8958" max="8958" width="50.15625" customWidth="1"/>
    <col min="8959" max="8959" width="14.83984375" customWidth="1"/>
    <col min="8960" max="8960" width="15.83984375" customWidth="1"/>
    <col min="9214" max="9214" width="50.15625" customWidth="1"/>
    <col min="9215" max="9215" width="14.83984375" customWidth="1"/>
    <col min="9216" max="9216" width="15.83984375" customWidth="1"/>
    <col min="9470" max="9470" width="50.15625" customWidth="1"/>
    <col min="9471" max="9471" width="14.83984375" customWidth="1"/>
    <col min="9472" max="9472" width="15.83984375" customWidth="1"/>
    <col min="9726" max="9726" width="50.15625" customWidth="1"/>
    <col min="9727" max="9727" width="14.83984375" customWidth="1"/>
    <col min="9728" max="9728" width="15.83984375" customWidth="1"/>
    <col min="9982" max="9982" width="50.15625" customWidth="1"/>
    <col min="9983" max="9983" width="14.83984375" customWidth="1"/>
    <col min="9984" max="9984" width="15.83984375" customWidth="1"/>
    <col min="10238" max="10238" width="50.15625" customWidth="1"/>
    <col min="10239" max="10239" width="14.83984375" customWidth="1"/>
    <col min="10240" max="10240" width="15.83984375" customWidth="1"/>
    <col min="10494" max="10494" width="50.15625" customWidth="1"/>
    <col min="10495" max="10495" width="14.83984375" customWidth="1"/>
    <col min="10496" max="10496" width="15.83984375" customWidth="1"/>
    <col min="10750" max="10750" width="50.15625" customWidth="1"/>
    <col min="10751" max="10751" width="14.83984375" customWidth="1"/>
    <col min="10752" max="10752" width="15.83984375" customWidth="1"/>
    <col min="11006" max="11006" width="50.15625" customWidth="1"/>
    <col min="11007" max="11007" width="14.83984375" customWidth="1"/>
    <col min="11008" max="11008" width="15.83984375" customWidth="1"/>
    <col min="11262" max="11262" width="50.15625" customWidth="1"/>
    <col min="11263" max="11263" width="14.83984375" customWidth="1"/>
    <col min="11264" max="11264" width="15.83984375" customWidth="1"/>
    <col min="11518" max="11518" width="50.15625" customWidth="1"/>
    <col min="11519" max="11519" width="14.83984375" customWidth="1"/>
    <col min="11520" max="11520" width="15.83984375" customWidth="1"/>
    <col min="11774" max="11774" width="50.15625" customWidth="1"/>
    <col min="11775" max="11775" width="14.83984375" customWidth="1"/>
    <col min="11776" max="11776" width="15.83984375" customWidth="1"/>
    <col min="12030" max="12030" width="50.15625" customWidth="1"/>
    <col min="12031" max="12031" width="14.83984375" customWidth="1"/>
    <col min="12032" max="12032" width="15.83984375" customWidth="1"/>
    <col min="12286" max="12286" width="50.15625" customWidth="1"/>
    <col min="12287" max="12287" width="14.83984375" customWidth="1"/>
    <col min="12288" max="12288" width="15.83984375" customWidth="1"/>
    <col min="12542" max="12542" width="50.15625" customWidth="1"/>
    <col min="12543" max="12543" width="14.83984375" customWidth="1"/>
    <col min="12544" max="12544" width="15.83984375" customWidth="1"/>
    <col min="12798" max="12798" width="50.15625" customWidth="1"/>
    <col min="12799" max="12799" width="14.83984375" customWidth="1"/>
    <col min="12800" max="12800" width="15.83984375" customWidth="1"/>
    <col min="13054" max="13054" width="50.15625" customWidth="1"/>
    <col min="13055" max="13055" width="14.83984375" customWidth="1"/>
    <col min="13056" max="13056" width="15.83984375" customWidth="1"/>
    <col min="13310" max="13310" width="50.15625" customWidth="1"/>
    <col min="13311" max="13311" width="14.83984375" customWidth="1"/>
    <col min="13312" max="13312" width="15.83984375" customWidth="1"/>
    <col min="13566" max="13566" width="50.15625" customWidth="1"/>
    <col min="13567" max="13567" width="14.83984375" customWidth="1"/>
    <col min="13568" max="13568" width="15.83984375" customWidth="1"/>
    <col min="13822" max="13822" width="50.15625" customWidth="1"/>
    <col min="13823" max="13823" width="14.83984375" customWidth="1"/>
    <col min="13824" max="13824" width="15.83984375" customWidth="1"/>
    <col min="14078" max="14078" width="50.15625" customWidth="1"/>
    <col min="14079" max="14079" width="14.83984375" customWidth="1"/>
    <col min="14080" max="14080" width="15.83984375" customWidth="1"/>
    <col min="14334" max="14334" width="50.15625" customWidth="1"/>
    <col min="14335" max="14335" width="14.83984375" customWidth="1"/>
    <col min="14336" max="14336" width="15.83984375" customWidth="1"/>
    <col min="14590" max="14590" width="50.15625" customWidth="1"/>
    <col min="14591" max="14591" width="14.83984375" customWidth="1"/>
    <col min="14592" max="14592" width="15.83984375" customWidth="1"/>
    <col min="14846" max="14846" width="50.15625" customWidth="1"/>
    <col min="14847" max="14847" width="14.83984375" customWidth="1"/>
    <col min="14848" max="14848" width="15.83984375" customWidth="1"/>
    <col min="15102" max="15102" width="50.15625" customWidth="1"/>
    <col min="15103" max="15103" width="14.83984375" customWidth="1"/>
    <col min="15104" max="15104" width="15.83984375" customWidth="1"/>
    <col min="15358" max="15358" width="50.15625" customWidth="1"/>
    <col min="15359" max="15359" width="14.83984375" customWidth="1"/>
    <col min="15360" max="15360" width="15.83984375" customWidth="1"/>
    <col min="15614" max="15614" width="50.15625" customWidth="1"/>
    <col min="15615" max="15615" width="14.83984375" customWidth="1"/>
    <col min="15616" max="15616" width="15.83984375" customWidth="1"/>
    <col min="15870" max="15870" width="50.15625" customWidth="1"/>
    <col min="15871" max="15871" width="14.83984375" customWidth="1"/>
    <col min="15872" max="15872" width="15.83984375" customWidth="1"/>
    <col min="16126" max="16126" width="50.15625" customWidth="1"/>
    <col min="16127" max="16127" width="14.83984375" customWidth="1"/>
    <col min="16128" max="16128" width="15.83984375" customWidth="1"/>
  </cols>
  <sheetData>
    <row r="1" spans="1:11" x14ac:dyDescent="0.55000000000000004">
      <c r="A1" s="18" t="s">
        <v>9</v>
      </c>
    </row>
    <row r="3" spans="1:11" x14ac:dyDescent="0.55000000000000004">
      <c r="A3" s="63" t="s">
        <v>151</v>
      </c>
    </row>
    <row r="5" spans="1:11" ht="43.2" x14ac:dyDescent="0.55000000000000004">
      <c r="A5" t="s">
        <v>73</v>
      </c>
      <c r="B5" s="37" t="s">
        <v>74</v>
      </c>
      <c r="C5" s="37" t="s">
        <v>10</v>
      </c>
      <c r="D5" s="37" t="s">
        <v>8</v>
      </c>
      <c r="F5" s="37" t="s">
        <v>3</v>
      </c>
      <c r="G5" s="37" t="s">
        <v>4</v>
      </c>
      <c r="H5" s="37" t="s">
        <v>5</v>
      </c>
      <c r="J5" s="37" t="s">
        <v>3</v>
      </c>
      <c r="K5" s="37" t="s">
        <v>4</v>
      </c>
    </row>
    <row r="6" spans="1:11" x14ac:dyDescent="0.55000000000000004">
      <c r="A6" s="9" t="s">
        <v>41</v>
      </c>
      <c r="B6" s="10">
        <f>'Rebalanced Portfolio'!I44</f>
        <v>278357.55094711116</v>
      </c>
      <c r="C6" s="10">
        <f>'Non-Rebalanced Portfolio'!I44</f>
        <v>265216.93682286551</v>
      </c>
      <c r="D6" s="10">
        <f>'Panic Portfolio'!I44</f>
        <v>194755.41649772259</v>
      </c>
      <c r="E6" s="38"/>
      <c r="F6" s="6">
        <f>(B6-D6)/D6</f>
        <v>0.4292673136018591</v>
      </c>
      <c r="G6" s="6">
        <f>(C6-D6)/D6</f>
        <v>0.36179491996807633</v>
      </c>
      <c r="H6" s="6">
        <f>(B6-C6)/C6</f>
        <v>4.9546662749604391E-2</v>
      </c>
      <c r="J6" s="2">
        <f>B6-D6</f>
        <v>83602.13444938857</v>
      </c>
      <c r="K6" s="2">
        <f>C6-D6</f>
        <v>70461.520325142919</v>
      </c>
    </row>
    <row r="7" spans="1:11" x14ac:dyDescent="0.55000000000000004">
      <c r="A7" s="11" t="s">
        <v>75</v>
      </c>
      <c r="B7" s="39">
        <f>'Rebalanced Portfolio'!I45</f>
        <v>1.7835755094711117</v>
      </c>
      <c r="C7" s="39">
        <f>'Non-Rebalanced Portfolio'!I45</f>
        <v>1.6521693682286551</v>
      </c>
      <c r="D7" s="39">
        <f>'Panic Portfolio'!I45</f>
        <v>0.94755416497722589</v>
      </c>
      <c r="F7" s="6">
        <f>(B7-D7)/D7</f>
        <v>0.8822939895092744</v>
      </c>
      <c r="G7" s="6">
        <f>(C7-D7)/D7</f>
        <v>0.74361469696918525</v>
      </c>
      <c r="H7" s="6">
        <f t="shared" ref="H7:H11" si="0">(B7-C7)/C7</f>
        <v>7.9535514802178756E-2</v>
      </c>
    </row>
    <row r="8" spans="1:11" x14ac:dyDescent="0.55000000000000004">
      <c r="A8" s="1" t="s">
        <v>43</v>
      </c>
      <c r="B8" s="39">
        <f>'Rebalanced Portfolio'!I46</f>
        <v>0.13070006074443011</v>
      </c>
      <c r="C8" s="39">
        <f>'Non-Rebalanced Portfolio'!I46</f>
        <v>0.12418189617368883</v>
      </c>
      <c r="D8" s="39">
        <f>'Panic Portfolio'!I46</f>
        <v>0.11655096068450151</v>
      </c>
      <c r="F8" s="6">
        <f>(B8-D8)/D8</f>
        <v>0.12139839926527601</v>
      </c>
      <c r="G8" s="6">
        <f>(C8-D8)/D8</f>
        <v>6.547295229804187E-2</v>
      </c>
      <c r="H8" s="6">
        <f t="shared" si="0"/>
        <v>5.2488847179660986E-2</v>
      </c>
    </row>
    <row r="9" spans="1:11" x14ac:dyDescent="0.55000000000000004">
      <c r="A9" s="1" t="s">
        <v>65</v>
      </c>
      <c r="B9" s="39">
        <f>'Rebalanced Portfolio'!I47</f>
        <v>6.6074825425942896E-2</v>
      </c>
      <c r="C9" s="39">
        <f>'Non-Rebalanced Portfolio'!I47</f>
        <v>5.9053063589396881E-2</v>
      </c>
      <c r="D9" s="39">
        <f>'Panic Portfolio'!I47</f>
        <v>4.2540887384092008E-2</v>
      </c>
      <c r="F9" s="6">
        <f>(B9-D9)/D9</f>
        <v>0.55320750198199464</v>
      </c>
      <c r="G9" s="6">
        <f>(C9-D9)/D9</f>
        <v>0.38814837255791557</v>
      </c>
      <c r="H9" s="6">
        <f t="shared" si="0"/>
        <v>0.1189059704906959</v>
      </c>
    </row>
    <row r="10" spans="1:11" x14ac:dyDescent="0.55000000000000004">
      <c r="A10" s="1" t="s">
        <v>45</v>
      </c>
      <c r="B10" s="2">
        <f>'Rebalanced Portfolio'!I48</f>
        <v>-45762.245278850824</v>
      </c>
      <c r="C10" s="2">
        <f>'Non-Rebalanced Portfolio'!I48</f>
        <v>-45340.900459422148</v>
      </c>
      <c r="D10" s="40">
        <f>'Panic Portfolio'!I48</f>
        <v>-43563.866782395286</v>
      </c>
      <c r="F10" s="2">
        <f>B10-D10</f>
        <v>-2198.378496455538</v>
      </c>
      <c r="G10" s="2">
        <f>C10-D10</f>
        <v>-1777.0336770268623</v>
      </c>
      <c r="H10" s="2">
        <f>B10-C10</f>
        <v>-421.34481942867569</v>
      </c>
    </row>
    <row r="11" spans="1:11" x14ac:dyDescent="0.55000000000000004">
      <c r="A11" s="1" t="s">
        <v>66</v>
      </c>
      <c r="B11" s="6">
        <f>'Rebalanced Portfolio'!I49</f>
        <v>-0.26854558425405883</v>
      </c>
      <c r="C11" s="6">
        <f>'Non-Rebalanced Portfolio'!I49</f>
        <v>-0.27307507008587317</v>
      </c>
      <c r="D11" s="12">
        <f>'Panic Portfolio'!I49</f>
        <v>-0.30034917946642886</v>
      </c>
      <c r="F11" s="6">
        <f>(B11-D11)/D11</f>
        <v>-0.10588873679917889</v>
      </c>
      <c r="G11" s="6">
        <f>(C11-D11)/D11</f>
        <v>-9.0808003634330614E-2</v>
      </c>
      <c r="H11" s="6">
        <f t="shared" si="0"/>
        <v>-1.658696207746084E-2</v>
      </c>
    </row>
    <row r="12" spans="1:11" x14ac:dyDescent="0.55000000000000004">
      <c r="A12" s="1" t="s">
        <v>0</v>
      </c>
      <c r="B12" s="6">
        <f>SUM('Rebalanced Portfolio'!P43:U43)</f>
        <v>0.71527699207284345</v>
      </c>
      <c r="C12" s="6">
        <f>SUM('Non-Rebalanced Portfolio'!P43:U43)</f>
        <v>0.74225268591334026</v>
      </c>
      <c r="D12" s="12">
        <f>SUM('Panic Portfolio'!P43:U43)</f>
        <v>0.79041185725530427</v>
      </c>
      <c r="F12" s="6">
        <f>B12-D12</f>
        <v>-7.5134865182460819E-2</v>
      </c>
      <c r="G12" s="6">
        <f>(C12-D12)/D12</f>
        <v>-6.0929211650741374E-2</v>
      </c>
    </row>
    <row r="13" spans="1:11" x14ac:dyDescent="0.55000000000000004">
      <c r="A13" s="1" t="s">
        <v>1</v>
      </c>
      <c r="B13" s="6">
        <f>'Rebalanced Portfolio'!V43</f>
        <v>0.28472300792715649</v>
      </c>
      <c r="C13" s="6">
        <f>'Non-Rebalanced Portfolio'!V43</f>
        <v>0.25774731408665991</v>
      </c>
      <c r="D13" s="12">
        <f>'Panic Portfolio'!V43</f>
        <v>0.2095881427446957</v>
      </c>
      <c r="F13" s="7">
        <f>B13-D13</f>
        <v>7.5134865182460792E-2</v>
      </c>
      <c r="G13" s="6">
        <f>(C13-D13)/D13</f>
        <v>0.22978003770293456</v>
      </c>
    </row>
    <row r="14" spans="1:11" hidden="1" x14ac:dyDescent="0.55000000000000004">
      <c r="A14" s="3" t="s">
        <v>2</v>
      </c>
      <c r="B14" s="58">
        <f>B12+B13</f>
        <v>1</v>
      </c>
      <c r="C14" s="58">
        <f>C12+C13</f>
        <v>1.0000000000000002</v>
      </c>
      <c r="D14" s="58">
        <f>D12+D13</f>
        <v>1</v>
      </c>
    </row>
    <row r="15" spans="1:11" x14ac:dyDescent="0.55000000000000004">
      <c r="B15" s="6"/>
      <c r="C15" s="6"/>
    </row>
    <row r="16" spans="1:11" x14ac:dyDescent="0.55000000000000004">
      <c r="A16" s="63" t="s">
        <v>152</v>
      </c>
    </row>
    <row r="18" spans="1:11" ht="43.2" x14ac:dyDescent="0.55000000000000004">
      <c r="A18" t="s">
        <v>73</v>
      </c>
      <c r="B18" s="37" t="s">
        <v>74</v>
      </c>
      <c r="C18" s="37" t="s">
        <v>10</v>
      </c>
      <c r="D18" s="37" t="s">
        <v>8</v>
      </c>
      <c r="F18" s="37" t="s">
        <v>3</v>
      </c>
      <c r="G18" s="37" t="s">
        <v>4</v>
      </c>
      <c r="H18" s="37" t="s">
        <v>5</v>
      </c>
      <c r="J18" s="37" t="s">
        <v>3</v>
      </c>
      <c r="K18" s="37" t="s">
        <v>4</v>
      </c>
    </row>
    <row r="19" spans="1:11" x14ac:dyDescent="0.55000000000000004">
      <c r="A19" s="9" t="s">
        <v>41</v>
      </c>
      <c r="B19" s="10">
        <f>'4% Withdrawals-Rebalanced'!I44</f>
        <v>133019.86116140115</v>
      </c>
      <c r="C19" s="10">
        <f>'4% Withdrawals-No Rebalancing'!I44</f>
        <v>132428.88504041621</v>
      </c>
      <c r="D19" s="10">
        <f>'4% Withdrawals-Panic'!I44</f>
        <v>65735.813101933236</v>
      </c>
      <c r="F19" s="6">
        <f>(B19-D19)/D19</f>
        <v>1.0235523816391212</v>
      </c>
      <c r="G19" s="6">
        <f>(C19-D19)/D19</f>
        <v>1.0145622118504165</v>
      </c>
      <c r="H19" s="6">
        <f>(B19-C19)/C19</f>
        <v>4.4625922872081674E-3</v>
      </c>
      <c r="J19" s="2">
        <f>B19-D19</f>
        <v>67284.04805946791</v>
      </c>
      <c r="K19" s="2">
        <f>C19-D19</f>
        <v>66693.071938482972</v>
      </c>
    </row>
    <row r="20" spans="1:11" x14ac:dyDescent="0.55000000000000004">
      <c r="A20" s="11" t="s">
        <v>75</v>
      </c>
      <c r="B20" s="39">
        <f>'4% Withdrawals-Rebalanced'!I45</f>
        <v>0.33019861161401148</v>
      </c>
      <c r="C20" s="39">
        <f>'4% Withdrawals-No Rebalancing'!I45</f>
        <v>0.32428885040416205</v>
      </c>
      <c r="D20" s="39">
        <f>'4% Withdrawals-Panic'!I45</f>
        <v>-0.34264186898066762</v>
      </c>
      <c r="F20" s="6">
        <f>(B20-D20)/D20</f>
        <v>-1.9636843640747295</v>
      </c>
      <c r="G20" s="6">
        <f>(C20-D20)/D20</f>
        <v>-1.9464367310652833</v>
      </c>
      <c r="H20" s="6">
        <f t="shared" ref="H20:H22" si="1">(B20-C20)/C20</f>
        <v>1.8223757007014202E-2</v>
      </c>
    </row>
    <row r="21" spans="1:11" x14ac:dyDescent="0.55000000000000004">
      <c r="A21" s="1" t="s">
        <v>43</v>
      </c>
      <c r="B21" s="39">
        <f>'4% Withdrawals-Rebalanced'!I46</f>
        <v>0.12801408372345144</v>
      </c>
      <c r="C21" s="39">
        <f>'4% Withdrawals-No Rebalancing'!I46</f>
        <v>0.11754622086462457</v>
      </c>
      <c r="D21" s="39">
        <f>'4% Withdrawals-Panic'!I46</f>
        <v>0.10826701571984607</v>
      </c>
      <c r="F21" s="6">
        <f>(B21-D21)/D21</f>
        <v>0.18239228145627739</v>
      </c>
      <c r="G21" s="6">
        <f>(C21-D21)/D21</f>
        <v>8.5706667751788479E-2</v>
      </c>
      <c r="H21" s="6">
        <f t="shared" si="1"/>
        <v>8.9053163783823178E-2</v>
      </c>
    </row>
    <row r="22" spans="1:11" x14ac:dyDescent="0.55000000000000004">
      <c r="A22" s="1" t="s">
        <v>65</v>
      </c>
      <c r="B22" s="39">
        <f>'4% Withdrawals-Rebalanced'!I47</f>
        <v>1.7992974110954796E-2</v>
      </c>
      <c r="C22" s="39">
        <f>'4% Withdrawals-No Rebalancing'!I47</f>
        <v>1.6659338649900546E-2</v>
      </c>
      <c r="D22" s="39">
        <f>'4% Withdrawals-Panic'!I47</f>
        <v>-2.5879624612768271E-2</v>
      </c>
      <c r="F22" s="6">
        <f>(B22-D22)/D22</f>
        <v>-1.6952563794946847</v>
      </c>
      <c r="G22" s="6">
        <f>(C22-D22)/D22</f>
        <v>-1.6437241227093109</v>
      </c>
      <c r="H22" s="6">
        <f t="shared" si="1"/>
        <v>8.0053325589981433E-2</v>
      </c>
    </row>
    <row r="23" spans="1:11" x14ac:dyDescent="0.55000000000000004">
      <c r="A23" s="1" t="s">
        <v>45</v>
      </c>
      <c r="B23" s="2">
        <f>'4% Withdrawals-Rebalanced'!I48</f>
        <v>-37557.854552314689</v>
      </c>
      <c r="C23" s="2">
        <f>'4% Withdrawals-No Rebalancing'!I48</f>
        <v>-38119.951776779737</v>
      </c>
      <c r="D23" s="40">
        <f>'4% Withdrawals-Panic'!I48</f>
        <v>-34260.543838615486</v>
      </c>
      <c r="F23" s="2">
        <f>B23-D23</f>
        <v>-3297.3107136992039</v>
      </c>
      <c r="G23" s="2">
        <f>C23-D23</f>
        <v>-3859.4079381642514</v>
      </c>
      <c r="H23" s="2">
        <f>B23-C23</f>
        <v>562.09722446504747</v>
      </c>
    </row>
    <row r="24" spans="1:11" x14ac:dyDescent="0.55000000000000004">
      <c r="A24" s="1" t="s">
        <v>66</v>
      </c>
      <c r="B24" s="6">
        <f>'4% Withdrawals-Rebalanced'!I49</f>
        <v>-0.30709285656811741</v>
      </c>
      <c r="C24" s="39">
        <f>'4% Withdrawals-No Rebalancing'!I49</f>
        <v>-0.29012657235089345</v>
      </c>
      <c r="D24" s="39">
        <f>'4% Withdrawals-Panic'!I49</f>
        <v>-0.34686427959949512</v>
      </c>
      <c r="F24" s="6">
        <f>(B24-D24)/D24</f>
        <v>-0.11465989832478442</v>
      </c>
      <c r="G24" s="6">
        <f>(C24-D24)/D24</f>
        <v>-0.16357322037920288</v>
      </c>
      <c r="H24" s="6">
        <f t="shared" ref="H24" si="2">(B24-C24)/C24</f>
        <v>5.8478904844000618E-2</v>
      </c>
    </row>
    <row r="25" spans="1:11" x14ac:dyDescent="0.55000000000000004">
      <c r="A25" s="1" t="s">
        <v>22</v>
      </c>
      <c r="B25" s="2">
        <f>'4% Withdrawals-Rebalanced'!I50</f>
        <v>83469.67485706025</v>
      </c>
      <c r="C25" s="2">
        <f>'4% Withdrawals-No Rebalancing'!I50</f>
        <v>83469.67485706025</v>
      </c>
      <c r="D25" s="40">
        <f>'4% Withdrawals-Panic'!I50</f>
        <v>83469.67485706025</v>
      </c>
      <c r="F25" s="2">
        <f>B25-D25</f>
        <v>0</v>
      </c>
      <c r="G25" s="2">
        <f>C25-D25</f>
        <v>0</v>
      </c>
    </row>
    <row r="26" spans="1:11" x14ac:dyDescent="0.55000000000000004">
      <c r="A26" s="1" t="s">
        <v>0</v>
      </c>
      <c r="B26" s="6">
        <f>SUM('4% Withdrawals-Rebalanced'!AH43:AM43)</f>
        <v>0.70268849035656866</v>
      </c>
      <c r="C26" s="6">
        <f>SUM('4% Withdrawals-No Rebalancing'!AH43:AM43)</f>
        <v>0.65604289805828864</v>
      </c>
      <c r="D26" s="12">
        <f>SUM('4% Withdrawals-Panic'!AH43:AM43)</f>
        <v>0.75800896199904377</v>
      </c>
    </row>
    <row r="27" spans="1:11" x14ac:dyDescent="0.55000000000000004">
      <c r="A27" s="1" t="s">
        <v>1</v>
      </c>
      <c r="B27" s="6">
        <f>'4% Withdrawals-Rebalanced'!AN43</f>
        <v>0.29731150964343123</v>
      </c>
      <c r="C27" s="6">
        <f>'4% Withdrawals-No Rebalancing'!AN43</f>
        <v>0.34395710194171147</v>
      </c>
      <c r="D27" s="12">
        <f>'4% Withdrawals-Panic'!AN43</f>
        <v>0.24199103800095642</v>
      </c>
    </row>
    <row r="28" spans="1:11" x14ac:dyDescent="0.55000000000000004">
      <c r="A28" s="3" t="s">
        <v>2</v>
      </c>
      <c r="B28" s="58">
        <f>B26+B27</f>
        <v>0.99999999999999989</v>
      </c>
      <c r="C28" s="58">
        <f>C26+C27</f>
        <v>1</v>
      </c>
      <c r="D28" s="58">
        <f>D26+D27</f>
        <v>1.0000000000000002</v>
      </c>
    </row>
    <row r="30" spans="1:11" x14ac:dyDescent="0.55000000000000004">
      <c r="F30" s="6"/>
      <c r="G30" s="6"/>
    </row>
    <row r="31" spans="1:11" x14ac:dyDescent="0.55000000000000004">
      <c r="F31" s="7"/>
      <c r="G31" s="6"/>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topLeftCell="A10" workbookViewId="0">
      <selection activeCell="B24" sqref="B24"/>
    </sheetView>
  </sheetViews>
  <sheetFormatPr defaultRowHeight="14.4" x14ac:dyDescent="0.55000000000000004"/>
  <cols>
    <col min="1" max="1" width="16.578125" customWidth="1"/>
  </cols>
  <sheetData>
    <row r="2" spans="1:8" x14ac:dyDescent="0.55000000000000004">
      <c r="A2" t="s">
        <v>126</v>
      </c>
    </row>
    <row r="3" spans="1:8" x14ac:dyDescent="0.55000000000000004">
      <c r="A3" s="16"/>
      <c r="B3" s="16" t="s">
        <v>97</v>
      </c>
      <c r="C3" s="16" t="s">
        <v>98</v>
      </c>
      <c r="D3" s="16" t="s">
        <v>99</v>
      </c>
      <c r="E3" s="16" t="s">
        <v>100</v>
      </c>
      <c r="F3" s="16" t="s">
        <v>105</v>
      </c>
      <c r="G3" s="16" t="s">
        <v>107</v>
      </c>
      <c r="H3" s="16" t="s">
        <v>108</v>
      </c>
    </row>
    <row r="4" spans="1:8" x14ac:dyDescent="0.55000000000000004">
      <c r="A4" s="16" t="s">
        <v>95</v>
      </c>
      <c r="B4" s="16" t="s">
        <v>101</v>
      </c>
      <c r="C4" s="16" t="s">
        <v>102</v>
      </c>
      <c r="D4" s="16" t="s">
        <v>103</v>
      </c>
      <c r="E4" s="16" t="s">
        <v>104</v>
      </c>
      <c r="F4" s="16" t="s">
        <v>106</v>
      </c>
      <c r="G4" s="16" t="s">
        <v>109</v>
      </c>
      <c r="H4" s="16" t="s">
        <v>110</v>
      </c>
    </row>
    <row r="5" spans="1:8" x14ac:dyDescent="0.55000000000000004">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55000000000000004">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55000000000000004">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55000000000000004">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55000000000000004">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55000000000000004">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55000000000000004">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55000000000000004">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55000000000000004">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55000000000000004">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55000000000000004">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55000000000000004">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55000000000000004">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55000000000000004">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55000000000000004">
      <c r="A19" s="16">
        <f>'Non-Rebalanced Portfolio'!A18</f>
        <v>2014</v>
      </c>
      <c r="B19" s="60">
        <f>('Non-Rebalanced Portfolio'!B18/100)+1</f>
        <v>1.1351</v>
      </c>
      <c r="C19" s="16"/>
      <c r="D19" s="60">
        <f>('Non-Rebalanced Portfolio'!D18/100)+1</f>
        <v>1.1360000000000001</v>
      </c>
      <c r="E19" s="60">
        <f>('Non-Rebalanced Portfolio'!E18/100)+1</f>
        <v>1.0737000000000001</v>
      </c>
      <c r="F19" s="16"/>
      <c r="G19" s="60">
        <f>('Non-Rebalanced Portfolio'!G18/100)+1</f>
        <v>0.95760000000000001</v>
      </c>
      <c r="H19" s="60">
        <f>('Non-Rebalanced Portfolio'!H18/100)+1</f>
        <v>1.0576000000000001</v>
      </c>
    </row>
    <row r="20" spans="1:8" x14ac:dyDescent="0.55000000000000004">
      <c r="A20" s="16">
        <f>'Non-Rebalanced Portfolio'!A19</f>
        <v>2015</v>
      </c>
      <c r="B20" s="60">
        <f>('Non-Rebalanced Portfolio'!B19/100)+1</f>
        <v>1.0125</v>
      </c>
      <c r="C20" s="16"/>
      <c r="D20" s="60">
        <f>('Non-Rebalanced Portfolio'!D19/100)+1</f>
        <v>0.98540000000000005</v>
      </c>
      <c r="E20" s="60">
        <f>('Non-Rebalanced Portfolio'!E19/100)+1</f>
        <v>0.96219999999999994</v>
      </c>
      <c r="F20" s="16"/>
      <c r="G20" s="60">
        <f>('Non-Rebalanced Portfolio'!G19/100)+1</f>
        <v>0.95630000000000004</v>
      </c>
      <c r="H20" s="60">
        <f>('Non-Rebalanced Portfolio'!H19/100)+1</f>
        <v>1.0029999999999999</v>
      </c>
    </row>
    <row r="21" spans="1:8" x14ac:dyDescent="0.55000000000000004">
      <c r="A21" s="16">
        <f>'Non-Rebalanced Portfolio'!A20</f>
        <v>2016</v>
      </c>
      <c r="B21" s="60">
        <f>('Non-Rebalanced Portfolio'!B20/100)+1</f>
        <v>1.1182000000000001</v>
      </c>
      <c r="C21" s="16"/>
      <c r="D21" s="60">
        <f>('Non-Rebalanced Portfolio'!D20/100)+1</f>
        <v>1.1107</v>
      </c>
      <c r="E21" s="60">
        <f>('Non-Rebalanced Portfolio'!E20/100)+1</f>
        <v>1.1817</v>
      </c>
      <c r="F21" s="16"/>
      <c r="G21" s="60">
        <f>('Non-Rebalanced Portfolio'!G20/100)+1</f>
        <v>1.0465</v>
      </c>
      <c r="H21" s="60">
        <f>('Non-Rebalanced Portfolio'!H20/100)+1</f>
        <v>1.0249999999999999</v>
      </c>
    </row>
    <row r="22" spans="1:8" x14ac:dyDescent="0.55000000000000004">
      <c r="A22" s="16"/>
      <c r="B22" s="60"/>
      <c r="C22" s="16"/>
      <c r="D22" s="60"/>
      <c r="E22" s="60"/>
      <c r="F22" s="16"/>
      <c r="G22" s="60"/>
      <c r="H22" s="60"/>
    </row>
    <row r="23" spans="1:8" x14ac:dyDescent="0.55000000000000004">
      <c r="A23" s="16"/>
      <c r="B23" s="60"/>
      <c r="C23" s="16"/>
      <c r="D23" s="60"/>
      <c r="E23" s="60"/>
      <c r="F23" s="16"/>
      <c r="G23" s="60"/>
      <c r="H23" s="60"/>
    </row>
    <row r="24" spans="1:8" x14ac:dyDescent="0.55000000000000004">
      <c r="A24" s="61" t="s">
        <v>43</v>
      </c>
      <c r="B24" s="60">
        <f>STDEV(B5:B21)</f>
        <v>0.18076738831014333</v>
      </c>
      <c r="C24" s="60"/>
      <c r="D24" s="60">
        <f>STDEV(D5:D21)</f>
        <v>0.19823626582498857</v>
      </c>
      <c r="E24" s="60">
        <f>STDEV(E5:E21)</f>
        <v>0.20867024862454445</v>
      </c>
      <c r="F24" s="60"/>
      <c r="G24" s="60">
        <f>STDEV(G5:G21)</f>
        <v>0.22270317665759226</v>
      </c>
      <c r="H24" s="60">
        <f>STDEV(H5:H21)</f>
        <v>3.2384928638815591E-2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topLeftCell="A18" workbookViewId="0">
      <selection activeCell="D48" sqref="D48"/>
    </sheetView>
  </sheetViews>
  <sheetFormatPr defaultColWidth="8.83984375" defaultRowHeight="14.4" x14ac:dyDescent="0.55000000000000004"/>
  <cols>
    <col min="1" max="1" width="25.41796875" customWidth="1"/>
    <col min="9" max="9" width="11.68359375" customWidth="1"/>
    <col min="10" max="10" width="10" bestFit="1" customWidth="1"/>
  </cols>
  <sheetData>
    <row r="1" spans="1:8" x14ac:dyDescent="0.55000000000000004">
      <c r="A1" t="s">
        <v>96</v>
      </c>
    </row>
    <row r="2" spans="1:8" x14ac:dyDescent="0.55000000000000004">
      <c r="A2" s="14"/>
      <c r="B2" s="14" t="s">
        <v>97</v>
      </c>
      <c r="C2" s="14" t="s">
        <v>98</v>
      </c>
      <c r="D2" s="14" t="s">
        <v>99</v>
      </c>
      <c r="E2" s="14" t="s">
        <v>100</v>
      </c>
      <c r="F2" s="14" t="s">
        <v>105</v>
      </c>
      <c r="G2" s="14" t="s">
        <v>107</v>
      </c>
      <c r="H2" s="14" t="s">
        <v>108</v>
      </c>
    </row>
    <row r="3" spans="1:8" x14ac:dyDescent="0.55000000000000004">
      <c r="A3" s="14" t="s">
        <v>95</v>
      </c>
      <c r="B3" s="14" t="s">
        <v>101</v>
      </c>
      <c r="C3" s="14" t="s">
        <v>102</v>
      </c>
      <c r="D3" s="14" t="s">
        <v>103</v>
      </c>
      <c r="E3" s="14" t="s">
        <v>104</v>
      </c>
      <c r="F3" s="14" t="s">
        <v>106</v>
      </c>
      <c r="G3" s="14" t="s">
        <v>109</v>
      </c>
      <c r="H3" s="14" t="s">
        <v>110</v>
      </c>
    </row>
    <row r="4" spans="1:8" x14ac:dyDescent="0.55000000000000004">
      <c r="A4" s="14">
        <v>2000</v>
      </c>
      <c r="B4" s="14">
        <v>-9.06</v>
      </c>
      <c r="C4" s="14"/>
      <c r="D4" s="14">
        <v>18.097999999999999</v>
      </c>
      <c r="E4" s="14">
        <v>-2.665</v>
      </c>
      <c r="F4" s="14"/>
      <c r="G4" s="14">
        <v>-15.614000000000001</v>
      </c>
      <c r="H4" s="14">
        <v>11.39</v>
      </c>
    </row>
    <row r="5" spans="1:8" x14ac:dyDescent="0.55000000000000004">
      <c r="A5" s="14">
        <v>2001</v>
      </c>
      <c r="B5" s="14">
        <v>-12.02</v>
      </c>
      <c r="C5" s="14"/>
      <c r="D5" s="14">
        <v>-0.499</v>
      </c>
      <c r="E5" s="14">
        <v>3.1</v>
      </c>
      <c r="F5" s="14"/>
      <c r="G5" s="14">
        <v>-20.152999999999999</v>
      </c>
      <c r="H5" s="14">
        <v>8.43</v>
      </c>
    </row>
    <row r="6" spans="1:8" x14ac:dyDescent="0.55000000000000004">
      <c r="A6" s="14">
        <v>2002</v>
      </c>
      <c r="B6" s="14">
        <v>-22.15</v>
      </c>
      <c r="C6" s="14"/>
      <c r="D6" s="14">
        <v>-14.608000000000001</v>
      </c>
      <c r="E6" s="14">
        <v>-20.021999999999998</v>
      </c>
      <c r="F6" s="14"/>
      <c r="G6" s="14">
        <v>-15.083</v>
      </c>
      <c r="H6" s="14">
        <v>8.26</v>
      </c>
    </row>
    <row r="7" spans="1:8" x14ac:dyDescent="0.55000000000000004">
      <c r="A7" s="14">
        <v>2003</v>
      </c>
      <c r="B7" s="14">
        <v>28.5</v>
      </c>
      <c r="C7" s="14"/>
      <c r="D7" s="14">
        <v>34.142000000000003</v>
      </c>
      <c r="E7" s="14">
        <v>45.628</v>
      </c>
      <c r="F7" s="14"/>
      <c r="G7" s="14">
        <v>40.340000000000003</v>
      </c>
      <c r="H7" s="14">
        <v>3.97</v>
      </c>
    </row>
    <row r="8" spans="1:8" x14ac:dyDescent="0.55000000000000004">
      <c r="A8" s="14">
        <v>2004</v>
      </c>
      <c r="B8" s="14">
        <v>10.74</v>
      </c>
      <c r="C8" s="14"/>
      <c r="D8" s="14">
        <v>20.353000000000002</v>
      </c>
      <c r="E8" s="14">
        <v>19.896999999999998</v>
      </c>
      <c r="F8" s="14"/>
      <c r="G8" s="14">
        <v>20.837</v>
      </c>
      <c r="H8" s="14">
        <v>4.24</v>
      </c>
    </row>
    <row r="9" spans="1:8" x14ac:dyDescent="0.55000000000000004">
      <c r="A9" s="14">
        <v>2005</v>
      </c>
      <c r="B9" s="14">
        <v>4.7699999999999996</v>
      </c>
      <c r="C9" s="14"/>
      <c r="D9" s="14">
        <v>13.930999999999999</v>
      </c>
      <c r="E9" s="14">
        <v>7.3630000000000004</v>
      </c>
      <c r="F9" s="14"/>
      <c r="G9" s="14">
        <v>15.571</v>
      </c>
      <c r="H9" s="14">
        <v>2.4</v>
      </c>
    </row>
    <row r="10" spans="1:8" x14ac:dyDescent="0.55000000000000004">
      <c r="A10" s="14">
        <v>2006</v>
      </c>
      <c r="B10" s="14">
        <v>15.64</v>
      </c>
      <c r="C10" s="14"/>
      <c r="D10" s="14">
        <v>13.597</v>
      </c>
      <c r="E10" s="14">
        <v>15.656000000000001</v>
      </c>
      <c r="F10" s="14"/>
      <c r="G10" s="14">
        <v>26.637</v>
      </c>
      <c r="H10" s="14">
        <v>4.2699999999999996</v>
      </c>
    </row>
    <row r="11" spans="1:8" x14ac:dyDescent="0.55000000000000004">
      <c r="A11" s="14">
        <v>2007</v>
      </c>
      <c r="B11" s="14">
        <v>5.39</v>
      </c>
      <c r="C11" s="14"/>
      <c r="D11" s="14">
        <v>6.0209999999999999</v>
      </c>
      <c r="E11" s="14">
        <v>1.1559999999999999</v>
      </c>
      <c r="F11" s="14"/>
      <c r="G11" s="14">
        <v>15.522</v>
      </c>
      <c r="H11" s="14">
        <v>6.92</v>
      </c>
    </row>
    <row r="12" spans="1:8" x14ac:dyDescent="0.55000000000000004">
      <c r="A12" s="14">
        <v>2008</v>
      </c>
      <c r="B12" s="14">
        <v>-37.020000000000003</v>
      </c>
      <c r="C12" s="14"/>
      <c r="D12" s="14">
        <v>-41.823999999999998</v>
      </c>
      <c r="E12" s="14">
        <v>-36.07</v>
      </c>
      <c r="F12" s="14"/>
      <c r="G12" s="14">
        <v>-44.100999999999999</v>
      </c>
      <c r="H12" s="14">
        <v>5.05</v>
      </c>
    </row>
    <row r="13" spans="1:8" x14ac:dyDescent="0.55000000000000004">
      <c r="A13" s="14">
        <v>2009</v>
      </c>
      <c r="B13" s="14">
        <v>26.49</v>
      </c>
      <c r="C13" s="14"/>
      <c r="D13" s="14">
        <v>40.218000000000004</v>
      </c>
      <c r="E13" s="14">
        <v>36.118000000000002</v>
      </c>
      <c r="F13" s="14"/>
      <c r="G13" s="14">
        <v>36.726999999999997</v>
      </c>
      <c r="H13" s="14">
        <v>5.93</v>
      </c>
    </row>
    <row r="14" spans="1:8" x14ac:dyDescent="0.55000000000000004">
      <c r="A14" s="14">
        <v>2010</v>
      </c>
      <c r="B14" s="14">
        <v>14.91</v>
      </c>
      <c r="C14" s="14"/>
      <c r="D14" s="14">
        <v>25.46</v>
      </c>
      <c r="E14" s="14">
        <v>27.72</v>
      </c>
      <c r="F14" s="14"/>
      <c r="G14" s="14">
        <v>11.12</v>
      </c>
      <c r="H14" s="14">
        <v>6.42</v>
      </c>
    </row>
    <row r="15" spans="1:8" x14ac:dyDescent="0.55000000000000004">
      <c r="A15" s="14">
        <v>2011</v>
      </c>
      <c r="B15" s="14">
        <v>1.97</v>
      </c>
      <c r="C15" s="14"/>
      <c r="D15" s="14">
        <v>-2.11</v>
      </c>
      <c r="E15" s="15">
        <v>-2.8</v>
      </c>
      <c r="F15" s="14"/>
      <c r="G15" s="14">
        <v>-14.56</v>
      </c>
      <c r="H15" s="14">
        <v>7.56</v>
      </c>
    </row>
    <row r="16" spans="1:8" x14ac:dyDescent="0.55000000000000004">
      <c r="A16" s="14">
        <v>2012</v>
      </c>
      <c r="B16" s="15">
        <v>15.82</v>
      </c>
      <c r="C16" s="15"/>
      <c r="D16" s="15">
        <v>15.8</v>
      </c>
      <c r="E16" s="15">
        <v>18.04</v>
      </c>
      <c r="F16" s="15"/>
      <c r="G16" s="15">
        <v>18.14</v>
      </c>
      <c r="H16" s="15">
        <v>4.05</v>
      </c>
    </row>
    <row r="17" spans="1:25" x14ac:dyDescent="0.55000000000000004">
      <c r="A17" s="14">
        <v>2013</v>
      </c>
      <c r="B17" s="15">
        <v>32.18</v>
      </c>
      <c r="C17" s="15"/>
      <c r="D17" s="15">
        <v>35</v>
      </c>
      <c r="E17" s="15">
        <v>37.619999999999997</v>
      </c>
      <c r="F17" s="15"/>
      <c r="G17" s="15">
        <v>15.04</v>
      </c>
      <c r="H17" s="15">
        <v>-2.2599999999999998</v>
      </c>
    </row>
    <row r="18" spans="1:25" x14ac:dyDescent="0.55000000000000004">
      <c r="A18" s="14">
        <v>2014</v>
      </c>
      <c r="B18" s="15">
        <v>13.51</v>
      </c>
      <c r="C18" s="15"/>
      <c r="D18" s="15">
        <v>13.6</v>
      </c>
      <c r="E18" s="15">
        <v>7.37</v>
      </c>
      <c r="F18" s="15"/>
      <c r="G18" s="15">
        <v>-4.24</v>
      </c>
      <c r="H18" s="15">
        <v>5.76</v>
      </c>
    </row>
    <row r="19" spans="1:25" x14ac:dyDescent="0.55000000000000004">
      <c r="A19" s="14">
        <v>2015</v>
      </c>
      <c r="B19" s="15">
        <v>1.25</v>
      </c>
      <c r="C19" s="15"/>
      <c r="D19" s="15">
        <v>-1.46</v>
      </c>
      <c r="E19" s="15">
        <v>-3.78</v>
      </c>
      <c r="F19" s="15"/>
      <c r="G19" s="15">
        <v>-4.37</v>
      </c>
      <c r="H19" s="15">
        <v>0.3</v>
      </c>
    </row>
    <row r="20" spans="1:25" x14ac:dyDescent="0.55000000000000004">
      <c r="A20" s="14">
        <v>2016</v>
      </c>
      <c r="B20" s="15">
        <v>11.82</v>
      </c>
      <c r="C20" s="15"/>
      <c r="D20" s="15">
        <v>11.07</v>
      </c>
      <c r="E20" s="15">
        <v>18.170000000000002</v>
      </c>
      <c r="F20" s="15"/>
      <c r="G20" s="15">
        <v>4.6500000000000004</v>
      </c>
      <c r="H20" s="15">
        <v>2.5</v>
      </c>
    </row>
    <row r="23" spans="1:25" x14ac:dyDescent="0.55000000000000004">
      <c r="A23" s="18" t="s">
        <v>11</v>
      </c>
      <c r="O23" s="18" t="s">
        <v>127</v>
      </c>
    </row>
    <row r="24" spans="1:25"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P24" s="4" t="str">
        <f>B24</f>
        <v>LC Stocks</v>
      </c>
      <c r="Q24" s="4" t="str">
        <f t="shared" ref="Q24:V25" si="1">C24</f>
        <v>Ext Mkt</v>
      </c>
      <c r="R24" s="4" t="str">
        <f t="shared" si="1"/>
        <v>Mcap Stk</v>
      </c>
      <c r="S24" s="4" t="str">
        <f t="shared" si="1"/>
        <v>Small Cap</v>
      </c>
      <c r="T24" s="4" t="str">
        <f t="shared" si="1"/>
        <v>Intl Val</v>
      </c>
      <c r="U24" s="4" t="str">
        <f t="shared" si="1"/>
        <v>Tot Int Stk</v>
      </c>
      <c r="V24" s="4" t="str">
        <f t="shared" si="1"/>
        <v>Bonds</v>
      </c>
      <c r="W24" s="5"/>
      <c r="X24" s="5" t="s">
        <v>6</v>
      </c>
      <c r="Y24" s="3" t="s">
        <v>7</v>
      </c>
    </row>
    <row r="25" spans="1:25"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O25" t="s">
        <v>117</v>
      </c>
      <c r="P25" s="4" t="str">
        <f>B25</f>
        <v>VFINX</v>
      </c>
      <c r="Q25" s="4" t="str">
        <f t="shared" si="1"/>
        <v>VEXMX</v>
      </c>
      <c r="R25" s="4" t="str">
        <f t="shared" si="1"/>
        <v>VIMSX</v>
      </c>
      <c r="S25" s="4" t="str">
        <f t="shared" si="1"/>
        <v>NAESX</v>
      </c>
      <c r="T25" s="4" t="str">
        <f t="shared" si="1"/>
        <v>VTRIX</v>
      </c>
      <c r="U25" s="4" t="str">
        <f t="shared" si="1"/>
        <v>VGTSX</v>
      </c>
      <c r="V25" s="4" t="str">
        <f t="shared" si="1"/>
        <v>VBMFX</v>
      </c>
      <c r="W25" s="5" t="s">
        <v>115</v>
      </c>
      <c r="X25" s="5" t="s">
        <v>7</v>
      </c>
      <c r="Y25" s="3" t="s">
        <v>50</v>
      </c>
    </row>
    <row r="26" spans="1:25" x14ac:dyDescent="0.55000000000000004">
      <c r="A26" t="s">
        <v>116</v>
      </c>
      <c r="B26" s="28">
        <v>20000</v>
      </c>
      <c r="C26" s="54"/>
      <c r="D26" s="28">
        <v>20000</v>
      </c>
      <c r="E26" s="28">
        <v>10000</v>
      </c>
      <c r="F26" s="54"/>
      <c r="G26" s="28">
        <v>20000</v>
      </c>
      <c r="H26" s="28">
        <v>30000</v>
      </c>
      <c r="I26" s="2">
        <f>SUM(B26:H26)</f>
        <v>100000</v>
      </c>
      <c r="O26" s="19" t="s">
        <v>49</v>
      </c>
      <c r="P26" s="20">
        <f>B26/$I26</f>
        <v>0.2</v>
      </c>
      <c r="Q26" s="20">
        <f>C26/$I26</f>
        <v>0</v>
      </c>
      <c r="R26" s="21">
        <v>0.2</v>
      </c>
      <c r="S26" s="21">
        <v>0.1</v>
      </c>
      <c r="T26" s="20">
        <f>F26/$I26</f>
        <v>0</v>
      </c>
      <c r="U26" s="21">
        <v>0.2</v>
      </c>
      <c r="V26" s="20">
        <f>H26/$I26</f>
        <v>0.3</v>
      </c>
      <c r="W26" s="20">
        <f>I26/$I26</f>
        <v>1</v>
      </c>
      <c r="X26" s="22"/>
    </row>
    <row r="27" spans="1:25" x14ac:dyDescent="0.55000000000000004">
      <c r="A27">
        <f t="shared" ref="A27:A41" si="2">A4</f>
        <v>2000</v>
      </c>
      <c r="B27" s="2">
        <f t="shared" ref="B27:B41" si="3">B26*(1+(B4/100))</f>
        <v>18188</v>
      </c>
      <c r="C27" s="2"/>
      <c r="D27" s="2">
        <f t="shared" ref="D27:D41" si="4">D26*(1+(D4/100))</f>
        <v>23619.599999999999</v>
      </c>
      <c r="E27" s="2">
        <f t="shared" ref="E27:E41" si="5">E26*(1+(E4/100))</f>
        <v>9733.5</v>
      </c>
      <c r="F27" s="2"/>
      <c r="G27" s="2">
        <f t="shared" ref="G27:G41" si="6">G26*(1+(G4/100))</f>
        <v>16877.2</v>
      </c>
      <c r="H27" s="2">
        <f t="shared" ref="H27:H41" si="7">H26*(1+(H4/100))</f>
        <v>33417</v>
      </c>
      <c r="I27" s="2">
        <f>SUM(B27:H27)</f>
        <v>101835.3</v>
      </c>
      <c r="J27" s="2">
        <f>I27-I26</f>
        <v>1835.3000000000029</v>
      </c>
      <c r="K27" s="6">
        <f>(J27/I26)</f>
        <v>1.8353000000000029E-2</v>
      </c>
      <c r="L27" s="7">
        <f>K27+1</f>
        <v>1.0183530000000001</v>
      </c>
      <c r="O27">
        <f>A27</f>
        <v>2000</v>
      </c>
      <c r="P27" s="7">
        <f>B27/$I27</f>
        <v>0.17860211537649517</v>
      </c>
      <c r="Q27" s="6"/>
      <c r="R27" s="7">
        <f>D27/$I27</f>
        <v>0.23193921950443508</v>
      </c>
      <c r="S27" s="7">
        <f>E27/$I27</f>
        <v>9.5580805477079159E-2</v>
      </c>
      <c r="T27" s="6"/>
      <c r="U27" s="7">
        <f>G27/$I27</f>
        <v>0.16573035087047419</v>
      </c>
      <c r="V27" s="7">
        <f>H27/$I27</f>
        <v>0.32814750877151633</v>
      </c>
      <c r="W27" s="6">
        <f>SUM(P27:V27)</f>
        <v>0.99999999999999989</v>
      </c>
      <c r="X27" s="7">
        <f>SUM(P27:U27)</f>
        <v>0.67185249122848356</v>
      </c>
      <c r="Y27" s="7">
        <f>W27-(X27+V27)</f>
        <v>0</v>
      </c>
    </row>
    <row r="28" spans="1:25" x14ac:dyDescent="0.55000000000000004">
      <c r="A28">
        <f t="shared" si="2"/>
        <v>2001</v>
      </c>
      <c r="B28" s="2">
        <f t="shared" si="3"/>
        <v>16001.8024</v>
      </c>
      <c r="C28" s="2"/>
      <c r="D28" s="2">
        <f t="shared" si="4"/>
        <v>23501.738195999998</v>
      </c>
      <c r="E28" s="2">
        <f t="shared" si="5"/>
        <v>10035.238499999999</v>
      </c>
      <c r="F28" s="2"/>
      <c r="G28" s="2">
        <f t="shared" si="6"/>
        <v>13475.937884000001</v>
      </c>
      <c r="H28" s="2">
        <f t="shared" si="7"/>
        <v>36234.053100000005</v>
      </c>
      <c r="I28" s="2">
        <f t="shared" ref="I28:I35" si="8">SUM(B28:H28)</f>
        <v>99248.770080000002</v>
      </c>
      <c r="J28" s="2">
        <f t="shared" ref="J28:J39" si="9">I28-I27</f>
        <v>-2586.5299200000009</v>
      </c>
      <c r="K28" s="6">
        <f t="shared" ref="K28:K35" si="10">(J28/I27)</f>
        <v>-2.5399148625280241E-2</v>
      </c>
      <c r="L28" s="7">
        <f t="shared" ref="L28:L39" si="11">K28+1</f>
        <v>0.97460085137471975</v>
      </c>
      <c r="O28">
        <f t="shared" ref="O28:O39" si="12">A28</f>
        <v>2001</v>
      </c>
      <c r="P28" s="7">
        <f t="shared" ref="P28:R39" si="13">B28/$I28</f>
        <v>0.16122922618690047</v>
      </c>
      <c r="Q28" s="6"/>
      <c r="R28" s="7">
        <f t="shared" si="13"/>
        <v>0.2367962663623569</v>
      </c>
      <c r="S28" s="7">
        <f t="shared" ref="S28:S39" si="14">E28/$I28</f>
        <v>0.10111196835901384</v>
      </c>
      <c r="T28" s="6"/>
      <c r="U28" s="7">
        <f t="shared" ref="U28:V39" si="15">G28/$I28</f>
        <v>0.13577939427498847</v>
      </c>
      <c r="V28" s="7">
        <f t="shared" si="15"/>
        <v>0.36508314481674031</v>
      </c>
      <c r="W28" s="6">
        <f t="shared" ref="W28:W39" si="16">SUM(P28:V28)</f>
        <v>0.99999999999999989</v>
      </c>
      <c r="X28" s="7">
        <f t="shared" ref="X28:X39" si="17">SUM(P28:U28)</f>
        <v>0.63491685518325958</v>
      </c>
      <c r="Y28" s="7">
        <f t="shared" ref="Y28:Y39" si="18">W28-(X28+V28)</f>
        <v>0</v>
      </c>
    </row>
    <row r="29" spans="1:25" x14ac:dyDescent="0.55000000000000004">
      <c r="A29">
        <f t="shared" si="2"/>
        <v>2002</v>
      </c>
      <c r="B29" s="2">
        <f t="shared" si="3"/>
        <v>12457.4031684</v>
      </c>
      <c r="C29" s="2"/>
      <c r="D29" s="2">
        <f t="shared" si="4"/>
        <v>20068.60428032832</v>
      </c>
      <c r="E29" s="2">
        <f t="shared" si="5"/>
        <v>8025.9830475300005</v>
      </c>
      <c r="F29" s="2"/>
      <c r="G29" s="2">
        <f t="shared" si="6"/>
        <v>11443.36217295628</v>
      </c>
      <c r="H29" s="2">
        <f t="shared" si="7"/>
        <v>39226.985886060007</v>
      </c>
      <c r="I29" s="2">
        <f t="shared" si="8"/>
        <v>91222.338555274619</v>
      </c>
      <c r="J29" s="2">
        <f t="shared" si="9"/>
        <v>-8026.4315247253835</v>
      </c>
      <c r="K29" s="6">
        <f t="shared" si="10"/>
        <v>-8.0871848772086904E-2</v>
      </c>
      <c r="L29" s="7">
        <f t="shared" si="11"/>
        <v>0.91912815122791314</v>
      </c>
      <c r="O29">
        <f t="shared" si="12"/>
        <v>2002</v>
      </c>
      <c r="P29" s="7">
        <f t="shared" si="13"/>
        <v>0.13656088372314254</v>
      </c>
      <c r="Q29" s="6"/>
      <c r="R29" s="7">
        <f t="shared" si="13"/>
        <v>0.21999659949704195</v>
      </c>
      <c r="S29" s="7">
        <f t="shared" si="14"/>
        <v>8.7982649586063763E-2</v>
      </c>
      <c r="T29" s="6"/>
      <c r="U29" s="7">
        <f t="shared" si="15"/>
        <v>0.12544473595162625</v>
      </c>
      <c r="V29" s="7">
        <f t="shared" si="15"/>
        <v>0.43001513124212537</v>
      </c>
      <c r="W29" s="6">
        <f t="shared" si="16"/>
        <v>1</v>
      </c>
      <c r="X29" s="7">
        <f t="shared" si="17"/>
        <v>0.56998486875787457</v>
      </c>
      <c r="Y29" s="7">
        <f t="shared" si="18"/>
        <v>0</v>
      </c>
    </row>
    <row r="30" spans="1:25" x14ac:dyDescent="0.55000000000000004">
      <c r="A30">
        <f t="shared" si="2"/>
        <v>2003</v>
      </c>
      <c r="B30" s="2">
        <f t="shared" si="3"/>
        <v>16007.763071394</v>
      </c>
      <c r="C30" s="2"/>
      <c r="D30" s="2">
        <f t="shared" si="4"/>
        <v>26920.427153718018</v>
      </c>
      <c r="E30" s="2">
        <f t="shared" si="5"/>
        <v>11688.07859245699</v>
      </c>
      <c r="F30" s="2"/>
      <c r="G30" s="2">
        <f t="shared" si="6"/>
        <v>16059.614473526843</v>
      </c>
      <c r="H30" s="2">
        <f t="shared" si="7"/>
        <v>40784.297225736591</v>
      </c>
      <c r="I30" s="2">
        <f t="shared" si="8"/>
        <v>111460.18051683245</v>
      </c>
      <c r="J30" s="2">
        <f t="shared" si="9"/>
        <v>20237.841961557831</v>
      </c>
      <c r="K30" s="6">
        <f t="shared" si="10"/>
        <v>0.22185182140770329</v>
      </c>
      <c r="L30" s="7">
        <f t="shared" si="11"/>
        <v>1.2218518214077032</v>
      </c>
      <c r="O30">
        <f t="shared" si="12"/>
        <v>2003</v>
      </c>
      <c r="P30" s="7">
        <f t="shared" si="13"/>
        <v>0.14361867168317161</v>
      </c>
      <c r="Q30" s="6"/>
      <c r="R30" s="7">
        <f t="shared" si="13"/>
        <v>0.241525063290675</v>
      </c>
      <c r="S30" s="7">
        <f t="shared" si="14"/>
        <v>0.10486326630963858</v>
      </c>
      <c r="T30" s="6"/>
      <c r="U30" s="7">
        <f t="shared" si="15"/>
        <v>0.14408387281502347</v>
      </c>
      <c r="V30" s="7">
        <f t="shared" si="15"/>
        <v>0.36590912590149127</v>
      </c>
      <c r="W30" s="6">
        <f t="shared" si="16"/>
        <v>0.99999999999999989</v>
      </c>
      <c r="X30" s="7">
        <f t="shared" si="17"/>
        <v>0.63409087409850862</v>
      </c>
      <c r="Y30" s="7">
        <f t="shared" si="18"/>
        <v>0</v>
      </c>
    </row>
    <row r="31" spans="1:25" x14ac:dyDescent="0.55000000000000004">
      <c r="A31">
        <f t="shared" si="2"/>
        <v>2004</v>
      </c>
      <c r="B31" s="2">
        <f t="shared" si="3"/>
        <v>17726.996825261715</v>
      </c>
      <c r="C31" s="2"/>
      <c r="D31" s="2">
        <f t="shared" si="4"/>
        <v>32399.541692314244</v>
      </c>
      <c r="E31" s="2">
        <f t="shared" si="5"/>
        <v>14013.655589998158</v>
      </c>
      <c r="F31" s="2"/>
      <c r="G31" s="2">
        <f t="shared" si="6"/>
        <v>19405.95634137563</v>
      </c>
      <c r="H31" s="2">
        <f t="shared" si="7"/>
        <v>42513.551428107821</v>
      </c>
      <c r="I31" s="2">
        <f t="shared" si="8"/>
        <v>126059.70187705757</v>
      </c>
      <c r="J31" s="2">
        <f t="shared" si="9"/>
        <v>14599.521360225117</v>
      </c>
      <c r="K31" s="6">
        <f t="shared" si="10"/>
        <v>0.13098418908464204</v>
      </c>
      <c r="L31" s="7">
        <f t="shared" si="11"/>
        <v>1.1309841890846419</v>
      </c>
      <c r="O31">
        <f t="shared" si="12"/>
        <v>2004</v>
      </c>
      <c r="P31" s="7">
        <f t="shared" si="13"/>
        <v>0.14062381999404019</v>
      </c>
      <c r="Q31" s="6"/>
      <c r="R31" s="7">
        <f t="shared" si="13"/>
        <v>0.25701743864119714</v>
      </c>
      <c r="S31" s="7">
        <f t="shared" si="14"/>
        <v>0.11116681525762512</v>
      </c>
      <c r="T31" s="6"/>
      <c r="U31" s="7">
        <f t="shared" si="15"/>
        <v>0.15394258476274761</v>
      </c>
      <c r="V31" s="7">
        <f t="shared" si="15"/>
        <v>0.33724934134438994</v>
      </c>
      <c r="W31" s="6">
        <f t="shared" si="16"/>
        <v>1</v>
      </c>
      <c r="X31" s="7">
        <f t="shared" si="17"/>
        <v>0.66275065865561</v>
      </c>
      <c r="Y31" s="7">
        <f t="shared" si="18"/>
        <v>0</v>
      </c>
    </row>
    <row r="32" spans="1:25" x14ac:dyDescent="0.55000000000000004">
      <c r="A32">
        <f t="shared" si="2"/>
        <v>2005</v>
      </c>
      <c r="B32" s="2">
        <f t="shared" si="3"/>
        <v>18572.5745738267</v>
      </c>
      <c r="C32" s="2"/>
      <c r="D32" s="2">
        <f t="shared" si="4"/>
        <v>36913.121845470545</v>
      </c>
      <c r="E32" s="2">
        <f t="shared" si="5"/>
        <v>15045.481051089722</v>
      </c>
      <c r="F32" s="2"/>
      <c r="G32" s="2">
        <f t="shared" si="6"/>
        <v>22427.657803291229</v>
      </c>
      <c r="H32" s="2">
        <f t="shared" si="7"/>
        <v>43533.876662382412</v>
      </c>
      <c r="I32" s="2">
        <f t="shared" si="8"/>
        <v>136492.7119360606</v>
      </c>
      <c r="J32" s="2">
        <f t="shared" si="9"/>
        <v>10433.010059003034</v>
      </c>
      <c r="K32" s="6">
        <f t="shared" si="10"/>
        <v>8.2762452263912628E-2</v>
      </c>
      <c r="L32" s="7">
        <f t="shared" si="11"/>
        <v>1.0827624522639125</v>
      </c>
      <c r="O32">
        <f t="shared" si="12"/>
        <v>2005</v>
      </c>
      <c r="P32" s="7">
        <f t="shared" si="13"/>
        <v>0.13607008250027985</v>
      </c>
      <c r="Q32" s="6"/>
      <c r="R32" s="7">
        <f t="shared" si="13"/>
        <v>0.27044024052186999</v>
      </c>
      <c r="S32" s="7">
        <f t="shared" si="14"/>
        <v>0.11022918980566311</v>
      </c>
      <c r="T32" s="6"/>
      <c r="U32" s="7">
        <f t="shared" si="15"/>
        <v>0.16431395849030653</v>
      </c>
      <c r="V32" s="7">
        <f t="shared" si="15"/>
        <v>0.31894652868188056</v>
      </c>
      <c r="W32" s="6">
        <f t="shared" si="16"/>
        <v>1</v>
      </c>
      <c r="X32" s="7">
        <f t="shared" si="17"/>
        <v>0.68105347131811944</v>
      </c>
      <c r="Y32" s="7">
        <f t="shared" si="18"/>
        <v>0</v>
      </c>
    </row>
    <row r="33" spans="1:25" x14ac:dyDescent="0.55000000000000004">
      <c r="A33">
        <f t="shared" si="2"/>
        <v>2006</v>
      </c>
      <c r="B33" s="2">
        <f t="shared" si="3"/>
        <v>21477.325237173198</v>
      </c>
      <c r="C33" s="2"/>
      <c r="D33" s="2">
        <f t="shared" si="4"/>
        <v>41932.19902279917</v>
      </c>
      <c r="E33" s="2">
        <f t="shared" si="5"/>
        <v>17401.001564448328</v>
      </c>
      <c r="F33" s="2"/>
      <c r="G33" s="2">
        <f t="shared" si="6"/>
        <v>28401.713012353914</v>
      </c>
      <c r="H33" s="2">
        <f t="shared" si="7"/>
        <v>45392.773195866139</v>
      </c>
      <c r="I33" s="2">
        <f t="shared" si="8"/>
        <v>154605.01203264075</v>
      </c>
      <c r="J33" s="2">
        <f t="shared" si="9"/>
        <v>18112.300096580148</v>
      </c>
      <c r="K33" s="6">
        <f t="shared" si="10"/>
        <v>0.13269792826055632</v>
      </c>
      <c r="L33" s="7">
        <f t="shared" si="11"/>
        <v>1.1326979282605563</v>
      </c>
      <c r="O33">
        <f t="shared" si="12"/>
        <v>2006</v>
      </c>
      <c r="P33" s="7">
        <f t="shared" si="13"/>
        <v>0.13891739313495755</v>
      </c>
      <c r="Q33" s="6"/>
      <c r="R33" s="7">
        <f t="shared" si="13"/>
        <v>0.2712214725221605</v>
      </c>
      <c r="S33" s="7">
        <f t="shared" si="14"/>
        <v>0.11255134187224518</v>
      </c>
      <c r="T33" s="6"/>
      <c r="U33" s="7">
        <f t="shared" si="15"/>
        <v>0.18370499532290482</v>
      </c>
      <c r="V33" s="7">
        <f t="shared" si="15"/>
        <v>0.29360479714773191</v>
      </c>
      <c r="W33" s="6">
        <f t="shared" si="16"/>
        <v>1</v>
      </c>
      <c r="X33" s="7">
        <f t="shared" si="17"/>
        <v>0.70639520285226809</v>
      </c>
      <c r="Y33" s="7">
        <f t="shared" si="18"/>
        <v>0</v>
      </c>
    </row>
    <row r="34" spans="1:25" x14ac:dyDescent="0.55000000000000004">
      <c r="A34">
        <f t="shared" si="2"/>
        <v>2007</v>
      </c>
      <c r="B34" s="2">
        <f t="shared" si="3"/>
        <v>22634.953067456834</v>
      </c>
      <c r="C34" s="2"/>
      <c r="D34" s="2">
        <f t="shared" si="4"/>
        <v>44456.93672596191</v>
      </c>
      <c r="E34" s="2">
        <f t="shared" si="5"/>
        <v>17602.15714253335</v>
      </c>
      <c r="F34" s="2"/>
      <c r="G34" s="2">
        <f t="shared" si="6"/>
        <v>32810.226906131487</v>
      </c>
      <c r="H34" s="2">
        <f t="shared" si="7"/>
        <v>48533.953101020074</v>
      </c>
      <c r="I34" s="2">
        <f t="shared" si="8"/>
        <v>166038.22694310365</v>
      </c>
      <c r="J34" s="2">
        <f t="shared" si="9"/>
        <v>11433.214910462906</v>
      </c>
      <c r="K34" s="6">
        <f t="shared" si="10"/>
        <v>7.3951127199220978E-2</v>
      </c>
      <c r="L34" s="7">
        <f t="shared" si="11"/>
        <v>1.073951127199221</v>
      </c>
      <c r="O34">
        <f t="shared" si="12"/>
        <v>2007</v>
      </c>
      <c r="P34" s="7">
        <f t="shared" si="13"/>
        <v>0.13632374594805302</v>
      </c>
      <c r="Q34" s="6"/>
      <c r="R34" s="7">
        <f t="shared" si="13"/>
        <v>0.26775121334676727</v>
      </c>
      <c r="S34" s="7">
        <f t="shared" si="14"/>
        <v>0.10601267832476363</v>
      </c>
      <c r="T34" s="6"/>
      <c r="U34" s="7">
        <f t="shared" si="15"/>
        <v>0.19760646394624878</v>
      </c>
      <c r="V34" s="7">
        <f t="shared" si="15"/>
        <v>0.29230589843416727</v>
      </c>
      <c r="W34" s="6">
        <f t="shared" si="16"/>
        <v>1</v>
      </c>
      <c r="X34" s="7">
        <f t="shared" si="17"/>
        <v>0.70769410156583279</v>
      </c>
      <c r="Y34" s="7">
        <f t="shared" si="18"/>
        <v>0</v>
      </c>
    </row>
    <row r="35" spans="1:25" x14ac:dyDescent="0.55000000000000004">
      <c r="A35">
        <f t="shared" si="2"/>
        <v>2008</v>
      </c>
      <c r="B35" s="2">
        <f t="shared" si="3"/>
        <v>14255.493441884311</v>
      </c>
      <c r="C35" s="2"/>
      <c r="D35" s="2">
        <f t="shared" si="4"/>
        <v>25863.267509695605</v>
      </c>
      <c r="E35" s="2">
        <f t="shared" si="5"/>
        <v>11253.059061221569</v>
      </c>
      <c r="F35" s="2"/>
      <c r="G35" s="2">
        <f t="shared" si="6"/>
        <v>18340.588738258441</v>
      </c>
      <c r="H35" s="2">
        <f t="shared" si="7"/>
        <v>50984.917732621587</v>
      </c>
      <c r="I35" s="2">
        <f t="shared" si="8"/>
        <v>120697.32648368151</v>
      </c>
      <c r="J35" s="2">
        <f t="shared" si="9"/>
        <v>-45340.900459422148</v>
      </c>
      <c r="K35" s="6">
        <f t="shared" si="10"/>
        <v>-0.27307507008587317</v>
      </c>
      <c r="L35" s="7">
        <f t="shared" si="11"/>
        <v>0.72692492991412683</v>
      </c>
      <c r="O35">
        <f t="shared" si="12"/>
        <v>2008</v>
      </c>
      <c r="P35" s="7">
        <f t="shared" si="13"/>
        <v>0.11810943835455776</v>
      </c>
      <c r="Q35" s="6"/>
      <c r="R35" s="7">
        <f t="shared" si="13"/>
        <v>0.21428202482341119</v>
      </c>
      <c r="S35" s="7">
        <f t="shared" si="14"/>
        <v>9.3233706073373571E-2</v>
      </c>
      <c r="T35" s="6"/>
      <c r="U35" s="7">
        <f t="shared" si="15"/>
        <v>0.15195521949475924</v>
      </c>
      <c r="V35" s="7">
        <f t="shared" si="15"/>
        <v>0.42241961125389832</v>
      </c>
      <c r="W35" s="6">
        <f t="shared" si="16"/>
        <v>1</v>
      </c>
      <c r="X35" s="7">
        <f t="shared" si="17"/>
        <v>0.57758038874610174</v>
      </c>
      <c r="Y35" s="7">
        <f t="shared" si="18"/>
        <v>0</v>
      </c>
    </row>
    <row r="36" spans="1:25" x14ac:dyDescent="0.55000000000000004">
      <c r="A36">
        <f t="shared" si="2"/>
        <v>2009</v>
      </c>
      <c r="B36" s="2">
        <f t="shared" si="3"/>
        <v>18031.773654639463</v>
      </c>
      <c r="C36" s="2"/>
      <c r="D36" s="2">
        <f t="shared" si="4"/>
        <v>36264.956436744986</v>
      </c>
      <c r="E36" s="2">
        <f t="shared" si="5"/>
        <v>15317.438932953577</v>
      </c>
      <c r="F36" s="2"/>
      <c r="G36" s="2">
        <f t="shared" si="6"/>
        <v>25076.536764158616</v>
      </c>
      <c r="H36" s="2">
        <f t="shared" si="7"/>
        <v>54008.323354166045</v>
      </c>
      <c r="I36" s="2">
        <f t="shared" ref="I36:I39" si="19">SUM(B36:H36)</f>
        <v>148699.02914266271</v>
      </c>
      <c r="J36" s="2">
        <f t="shared" si="9"/>
        <v>28001.702658981201</v>
      </c>
      <c r="K36" s="6">
        <f t="shared" ref="K36:K39" si="20">(J36/I35)</f>
        <v>0.23199936133437951</v>
      </c>
      <c r="L36" s="7">
        <f t="shared" si="11"/>
        <v>1.2319993613343796</v>
      </c>
      <c r="O36">
        <f t="shared" si="12"/>
        <v>2009</v>
      </c>
      <c r="P36" s="7">
        <f t="shared" si="13"/>
        <v>0.12126356008242445</v>
      </c>
      <c r="Q36" s="6"/>
      <c r="R36" s="7">
        <f t="shared" si="13"/>
        <v>0.24388159523188396</v>
      </c>
      <c r="S36" s="7">
        <f t="shared" si="14"/>
        <v>0.10300967680332289</v>
      </c>
      <c r="T36" s="6"/>
      <c r="U36" s="7">
        <f t="shared" si="15"/>
        <v>0.16863954599259717</v>
      </c>
      <c r="V36" s="7">
        <f t="shared" si="15"/>
        <v>0.36320562188977135</v>
      </c>
      <c r="W36" s="6">
        <f t="shared" si="16"/>
        <v>0.99999999999999989</v>
      </c>
      <c r="X36" s="7">
        <f t="shared" si="17"/>
        <v>0.63679437811022854</v>
      </c>
      <c r="Y36" s="7">
        <f t="shared" si="18"/>
        <v>0</v>
      </c>
    </row>
    <row r="37" spans="1:25" x14ac:dyDescent="0.55000000000000004">
      <c r="A37">
        <f t="shared" si="2"/>
        <v>2010</v>
      </c>
      <c r="B37" s="2">
        <f t="shared" si="3"/>
        <v>20720.311106546207</v>
      </c>
      <c r="C37" s="2"/>
      <c r="D37" s="2">
        <f t="shared" si="4"/>
        <v>45498.014345540258</v>
      </c>
      <c r="E37" s="2">
        <f t="shared" si="5"/>
        <v>19563.43300516831</v>
      </c>
      <c r="F37" s="2"/>
      <c r="G37" s="2">
        <f t="shared" si="6"/>
        <v>27865.047652333054</v>
      </c>
      <c r="H37" s="2">
        <f t="shared" si="7"/>
        <v>57475.657713503504</v>
      </c>
      <c r="I37" s="2">
        <f t="shared" si="19"/>
        <v>171122.46382309133</v>
      </c>
      <c r="J37" s="2">
        <f t="shared" si="9"/>
        <v>22423.434680428618</v>
      </c>
      <c r="K37" s="6">
        <f t="shared" si="20"/>
        <v>0.15079745180390819</v>
      </c>
      <c r="L37" s="7">
        <f t="shared" si="11"/>
        <v>1.1507974518039081</v>
      </c>
      <c r="O37">
        <f t="shared" si="12"/>
        <v>2010</v>
      </c>
      <c r="P37" s="7">
        <f t="shared" si="13"/>
        <v>0.12108469363769295</v>
      </c>
      <c r="Q37" s="6"/>
      <c r="R37" s="7">
        <f t="shared" si="13"/>
        <v>0.26587984610002291</v>
      </c>
      <c r="S37" s="7">
        <f t="shared" si="14"/>
        <v>0.11432416626138137</v>
      </c>
      <c r="T37" s="7"/>
      <c r="U37" s="7">
        <f t="shared" si="15"/>
        <v>0.16283687734382032</v>
      </c>
      <c r="V37" s="7">
        <f t="shared" si="15"/>
        <v>0.33587441665708251</v>
      </c>
      <c r="W37" s="6">
        <f t="shared" si="16"/>
        <v>1</v>
      </c>
      <c r="X37" s="7">
        <f t="shared" si="17"/>
        <v>0.66412558334291749</v>
      </c>
      <c r="Y37" s="7">
        <f t="shared" si="18"/>
        <v>0</v>
      </c>
    </row>
    <row r="38" spans="1:25" x14ac:dyDescent="0.55000000000000004">
      <c r="A38">
        <f t="shared" si="2"/>
        <v>2011</v>
      </c>
      <c r="B38" s="2">
        <f t="shared" si="3"/>
        <v>21128.501235345168</v>
      </c>
      <c r="C38" s="2"/>
      <c r="D38" s="2">
        <f t="shared" si="4"/>
        <v>44538.006242849355</v>
      </c>
      <c r="E38" s="2">
        <f t="shared" si="5"/>
        <v>19015.656881023599</v>
      </c>
      <c r="F38" s="2"/>
      <c r="G38" s="2">
        <f t="shared" si="6"/>
        <v>23807.896714153361</v>
      </c>
      <c r="H38" s="2">
        <f t="shared" si="7"/>
        <v>61820.817436644378</v>
      </c>
      <c r="I38" s="2">
        <f t="shared" si="19"/>
        <v>170310.87851001587</v>
      </c>
      <c r="J38" s="2">
        <f t="shared" si="9"/>
        <v>-811.58531307545491</v>
      </c>
      <c r="K38" s="6">
        <f t="shared" si="20"/>
        <v>-4.7427163853512684E-3</v>
      </c>
      <c r="L38" s="7">
        <f t="shared" si="11"/>
        <v>0.99525728361464871</v>
      </c>
      <c r="O38">
        <f t="shared" si="12"/>
        <v>2011</v>
      </c>
      <c r="P38" s="7">
        <f t="shared" si="13"/>
        <v>0.12405843607989266</v>
      </c>
      <c r="Q38" s="7"/>
      <c r="R38" s="7">
        <f t="shared" si="13"/>
        <v>0.26151004934326672</v>
      </c>
      <c r="S38" s="7">
        <f t="shared" si="14"/>
        <v>0.11165262634650376</v>
      </c>
      <c r="T38" s="7"/>
      <c r="U38" s="7">
        <f t="shared" si="15"/>
        <v>0.13979081619705952</v>
      </c>
      <c r="V38" s="7">
        <f t="shared" si="15"/>
        <v>0.36298807203327726</v>
      </c>
      <c r="W38" s="6">
        <f t="shared" si="16"/>
        <v>0.99999999999999978</v>
      </c>
      <c r="X38" s="7">
        <f t="shared" si="17"/>
        <v>0.63701192796672257</v>
      </c>
      <c r="Y38" s="7">
        <f t="shared" si="18"/>
        <v>0</v>
      </c>
    </row>
    <row r="39" spans="1:25" x14ac:dyDescent="0.55000000000000004">
      <c r="A39">
        <f t="shared" si="2"/>
        <v>2012</v>
      </c>
      <c r="B39" s="2">
        <f t="shared" si="3"/>
        <v>24471.03013077677</v>
      </c>
      <c r="C39" s="2"/>
      <c r="D39" s="2">
        <f t="shared" si="4"/>
        <v>51575.011229219548</v>
      </c>
      <c r="E39" s="2">
        <f t="shared" si="5"/>
        <v>22446.081382360258</v>
      </c>
      <c r="F39" s="2"/>
      <c r="G39" s="2">
        <f t="shared" si="6"/>
        <v>28126.649178100783</v>
      </c>
      <c r="H39" s="2">
        <f t="shared" si="7"/>
        <v>64324.560542828476</v>
      </c>
      <c r="I39" s="2">
        <f t="shared" si="19"/>
        <v>190943.33246328583</v>
      </c>
      <c r="J39" s="2">
        <f t="shared" si="9"/>
        <v>20632.453953269956</v>
      </c>
      <c r="K39" s="6">
        <f t="shared" si="20"/>
        <v>0.12114583715247863</v>
      </c>
      <c r="L39" s="7">
        <f t="shared" si="11"/>
        <v>1.1211458371524787</v>
      </c>
      <c r="O39">
        <f t="shared" si="12"/>
        <v>2012</v>
      </c>
      <c r="P39" s="7">
        <f t="shared" si="13"/>
        <v>0.12815859980595032</v>
      </c>
      <c r="Q39" s="7"/>
      <c r="R39" s="7">
        <f t="shared" si="13"/>
        <v>0.27010637430419981</v>
      </c>
      <c r="S39" s="7">
        <f t="shared" si="14"/>
        <v>0.11755362752284709</v>
      </c>
      <c r="T39" s="7"/>
      <c r="U39" s="7">
        <f t="shared" si="15"/>
        <v>0.14730364666443074</v>
      </c>
      <c r="V39" s="7">
        <f t="shared" si="15"/>
        <v>0.33687775170257211</v>
      </c>
      <c r="W39" s="6">
        <f t="shared" si="16"/>
        <v>1.0000000000000002</v>
      </c>
      <c r="X39" s="7">
        <f t="shared" si="17"/>
        <v>0.66312224829742805</v>
      </c>
      <c r="Y39" s="7">
        <f t="shared" si="18"/>
        <v>0</v>
      </c>
    </row>
    <row r="40" spans="1:25" x14ac:dyDescent="0.55000000000000004">
      <c r="A40">
        <f t="shared" si="2"/>
        <v>2013</v>
      </c>
      <c r="B40" s="2">
        <f t="shared" si="3"/>
        <v>32345.807626860736</v>
      </c>
      <c r="C40" s="2"/>
      <c r="D40" s="2">
        <f t="shared" si="4"/>
        <v>69626.265159446397</v>
      </c>
      <c r="E40" s="2">
        <f t="shared" si="5"/>
        <v>30890.297198404183</v>
      </c>
      <c r="F40" s="2"/>
      <c r="G40" s="2">
        <f t="shared" si="6"/>
        <v>32356.897214487137</v>
      </c>
      <c r="H40" s="2">
        <f t="shared" si="7"/>
        <v>62870.825474560559</v>
      </c>
      <c r="I40" s="2">
        <f t="shared" ref="I40:I41" si="21">SUM(B40:H40)</f>
        <v>228090.09267375901</v>
      </c>
      <c r="J40" s="2">
        <f t="shared" ref="J40:J41" si="22">I40-I39</f>
        <v>37146.760210473178</v>
      </c>
      <c r="K40" s="6">
        <f t="shared" ref="K40:K41" si="23">(J40/I39)</f>
        <v>0.19454337436797212</v>
      </c>
      <c r="L40" s="7">
        <f t="shared" ref="L40:L41" si="24">K40+1</f>
        <v>1.1945433743679721</v>
      </c>
      <c r="O40">
        <f t="shared" ref="O40:O41" si="25">A40</f>
        <v>2013</v>
      </c>
      <c r="P40" s="7">
        <f t="shared" ref="P40:P41" si="26">B40/$I40</f>
        <v>0.1418115414294889</v>
      </c>
      <c r="Q40" s="7"/>
      <c r="R40" s="7">
        <f t="shared" ref="R40:R41" si="27">D40/$I40</f>
        <v>0.30525773541174356</v>
      </c>
      <c r="S40" s="7">
        <f t="shared" ref="S40:S41" si="28">E40/$I40</f>
        <v>0.13543024528727374</v>
      </c>
      <c r="T40" s="7"/>
      <c r="U40" s="7">
        <f t="shared" ref="U40:U41" si="29">G40/$I40</f>
        <v>0.14186016076010691</v>
      </c>
      <c r="V40" s="7">
        <f t="shared" ref="V40:V41" si="30">H40/$I40</f>
        <v>0.27564031711138692</v>
      </c>
      <c r="W40" s="6">
        <f t="shared" ref="W40:W41" si="31">SUM(P40:V40)</f>
        <v>1</v>
      </c>
      <c r="X40" s="7">
        <f t="shared" ref="X40:X41" si="32">SUM(P40:U40)</f>
        <v>0.72435968288861308</v>
      </c>
      <c r="Y40" s="7">
        <f t="shared" ref="Y40:Y41" si="33">W40-(X40+V40)</f>
        <v>0</v>
      </c>
    </row>
    <row r="41" spans="1:25" x14ac:dyDescent="0.55000000000000004">
      <c r="A41">
        <f t="shared" si="2"/>
        <v>2014</v>
      </c>
      <c r="B41" s="2">
        <f t="shared" si="3"/>
        <v>36715.726237249619</v>
      </c>
      <c r="C41" s="2"/>
      <c r="D41" s="2">
        <f t="shared" si="4"/>
        <v>79095.437221131113</v>
      </c>
      <c r="E41" s="2">
        <f t="shared" si="5"/>
        <v>33166.912101926573</v>
      </c>
      <c r="F41" s="2"/>
      <c r="G41" s="2">
        <f t="shared" si="6"/>
        <v>30984.964772592881</v>
      </c>
      <c r="H41" s="2">
        <f t="shared" si="7"/>
        <v>66492.18502189526</v>
      </c>
      <c r="I41" s="2">
        <f t="shared" si="21"/>
        <v>246455.22535479546</v>
      </c>
      <c r="J41" s="2">
        <f t="shared" si="22"/>
        <v>18365.132681036455</v>
      </c>
      <c r="K41" s="6">
        <f t="shared" si="23"/>
        <v>8.051701179018067E-2</v>
      </c>
      <c r="L41" s="7">
        <f t="shared" si="24"/>
        <v>1.0805170117901808</v>
      </c>
      <c r="O41">
        <f t="shared" si="25"/>
        <v>2014</v>
      </c>
      <c r="P41" s="7">
        <f t="shared" si="26"/>
        <v>0.148975239556775</v>
      </c>
      <c r="Q41" s="7"/>
      <c r="R41" s="7">
        <f t="shared" si="27"/>
        <v>0.32093227931063661</v>
      </c>
      <c r="S41" s="7">
        <f t="shared" si="28"/>
        <v>0.13457581211426817</v>
      </c>
      <c r="T41" s="7"/>
      <c r="U41" s="7">
        <f t="shared" si="29"/>
        <v>0.12572249067954275</v>
      </c>
      <c r="V41" s="7">
        <f t="shared" si="30"/>
        <v>0.26979417833877739</v>
      </c>
      <c r="W41" s="6">
        <f t="shared" si="31"/>
        <v>0.99999999999999989</v>
      </c>
      <c r="X41" s="7">
        <f t="shared" si="32"/>
        <v>0.7302058216612225</v>
      </c>
      <c r="Y41" s="7">
        <f t="shared" si="33"/>
        <v>0</v>
      </c>
    </row>
    <row r="42" spans="1:25" x14ac:dyDescent="0.55000000000000004">
      <c r="A42">
        <f t="shared" ref="A42:A43" si="34">A19</f>
        <v>2015</v>
      </c>
      <c r="B42" s="2">
        <f t="shared" ref="B42:B43" si="35">B41*(1+(B19/100))</f>
        <v>37174.672815215235</v>
      </c>
      <c r="C42" s="2"/>
      <c r="D42" s="2">
        <f t="shared" ref="D42:E42" si="36">D41*(1+(D19/100))</f>
        <v>77940.643837702606</v>
      </c>
      <c r="E42" s="2">
        <f t="shared" si="36"/>
        <v>31913.202824473748</v>
      </c>
      <c r="F42" s="2"/>
      <c r="G42" s="2">
        <f t="shared" ref="G42:H42" si="37">G41*(1+(G19/100))</f>
        <v>29630.921812030574</v>
      </c>
      <c r="H42" s="2">
        <f t="shared" si="37"/>
        <v>66691.661576960934</v>
      </c>
      <c r="I42" s="2">
        <f t="shared" ref="I42:I43" si="38">SUM(B42:H42)</f>
        <v>243351.10286638309</v>
      </c>
      <c r="J42" s="2">
        <f t="shared" ref="J42:J43" si="39">I42-I41</f>
        <v>-3104.1224884123658</v>
      </c>
      <c r="K42" s="6">
        <f t="shared" ref="K42:K43" si="40">(J42/I41)</f>
        <v>-1.2595076789074728E-2</v>
      </c>
      <c r="L42" s="7">
        <f t="shared" ref="L42:L43" si="41">K42+1</f>
        <v>0.98740492321092532</v>
      </c>
      <c r="O42">
        <f t="shared" ref="O42:O43" si="42">A42</f>
        <v>2015</v>
      </c>
      <c r="P42" s="7">
        <f t="shared" ref="P42:P43" si="43">B42/$I42</f>
        <v>0.15276147252813871</v>
      </c>
      <c r="Q42" s="7"/>
      <c r="R42" s="7">
        <f t="shared" ref="R42:R43" si="44">D42/$I42</f>
        <v>0.32028062712539879</v>
      </c>
      <c r="S42" s="7">
        <f t="shared" ref="S42:S43" si="45">E42/$I42</f>
        <v>0.13114057199073531</v>
      </c>
      <c r="T42" s="7"/>
      <c r="U42" s="7">
        <f t="shared" ref="U42:U43" si="46">G42/$I42</f>
        <v>0.12176201982655505</v>
      </c>
      <c r="V42" s="7">
        <f t="shared" ref="V42:V43" si="47">H42/$I42</f>
        <v>0.27405530852917215</v>
      </c>
      <c r="W42" s="6">
        <f t="shared" ref="W42:W43" si="48">SUM(P42:V42)</f>
        <v>1</v>
      </c>
      <c r="X42" s="7">
        <f t="shared" ref="X42:X43" si="49">SUM(P42:U42)</f>
        <v>0.72594469147082785</v>
      </c>
      <c r="Y42" s="7">
        <f t="shared" ref="Y42:Y43" si="50">W42-(X42+V42)</f>
        <v>0</v>
      </c>
    </row>
    <row r="43" spans="1:25" x14ac:dyDescent="0.55000000000000004">
      <c r="A43">
        <f t="shared" si="34"/>
        <v>2016</v>
      </c>
      <c r="B43" s="2">
        <f t="shared" si="35"/>
        <v>41568.719141973677</v>
      </c>
      <c r="C43" s="2"/>
      <c r="D43" s="2">
        <f t="shared" ref="D43:E43" si="51">D42*(1+(D20/100))</f>
        <v>86568.673110536285</v>
      </c>
      <c r="E43" s="2">
        <f t="shared" si="51"/>
        <v>37711.831777680629</v>
      </c>
      <c r="F43" s="2"/>
      <c r="G43" s="2">
        <f t="shared" ref="G43:H43" si="52">G42*(1+(G20/100))</f>
        <v>31008.759676289996</v>
      </c>
      <c r="H43" s="2">
        <f t="shared" si="52"/>
        <v>68358.953116384946</v>
      </c>
      <c r="I43" s="2">
        <f t="shared" si="38"/>
        <v>265216.93682286551</v>
      </c>
      <c r="J43" s="2">
        <f t="shared" si="39"/>
        <v>21865.833956482413</v>
      </c>
      <c r="K43" s="6">
        <f t="shared" si="40"/>
        <v>8.985303004148823E-2</v>
      </c>
      <c r="L43" s="7">
        <f t="shared" si="41"/>
        <v>1.0898530300414881</v>
      </c>
      <c r="O43">
        <f t="shared" si="42"/>
        <v>2016</v>
      </c>
      <c r="P43" s="7">
        <f t="shared" si="43"/>
        <v>0.15673478338126201</v>
      </c>
      <c r="Q43" s="7"/>
      <c r="R43" s="7">
        <f t="shared" si="44"/>
        <v>0.3264070317211839</v>
      </c>
      <c r="S43" s="7">
        <f t="shared" si="45"/>
        <v>0.14219239626791938</v>
      </c>
      <c r="T43" s="7"/>
      <c r="U43" s="7">
        <f t="shared" si="46"/>
        <v>0.11691847454297495</v>
      </c>
      <c r="V43" s="7">
        <f t="shared" si="47"/>
        <v>0.25774731408665991</v>
      </c>
      <c r="W43" s="6">
        <f t="shared" si="48"/>
        <v>1.0000000000000002</v>
      </c>
      <c r="X43" s="7">
        <f t="shared" si="49"/>
        <v>0.74225268591334026</v>
      </c>
      <c r="Y43" s="7">
        <f t="shared" si="50"/>
        <v>0</v>
      </c>
    </row>
    <row r="44" spans="1:25" x14ac:dyDescent="0.55000000000000004">
      <c r="A44" s="9" t="s">
        <v>41</v>
      </c>
      <c r="B44" s="10">
        <f>B43</f>
        <v>41568.719141973677</v>
      </c>
      <c r="C44" s="10"/>
      <c r="D44" s="10">
        <f>D43</f>
        <v>86568.673110536285</v>
      </c>
      <c r="E44" s="10">
        <f>E43</f>
        <v>37711.831777680629</v>
      </c>
      <c r="F44" s="10"/>
      <c r="G44" s="10">
        <f>G43</f>
        <v>31008.759676289996</v>
      </c>
      <c r="H44" s="10">
        <f>H43</f>
        <v>68358.953116384946</v>
      </c>
      <c r="I44" s="49">
        <f>SUM(B44:H44)</f>
        <v>265216.93682286551</v>
      </c>
      <c r="J44" s="10"/>
      <c r="K44" s="10"/>
      <c r="L44" s="65"/>
      <c r="P44" s="6"/>
      <c r="Q44" s="6"/>
      <c r="R44" s="6"/>
      <c r="S44" s="6"/>
      <c r="T44" s="6"/>
      <c r="U44" s="6"/>
      <c r="V44" s="6"/>
    </row>
    <row r="45" spans="1:25" x14ac:dyDescent="0.55000000000000004">
      <c r="A45" s="11" t="s">
        <v>42</v>
      </c>
      <c r="I45" s="48">
        <f>(I44-I26)/I26</f>
        <v>1.6521693682286551</v>
      </c>
      <c r="K45" s="6"/>
      <c r="P45" s="6"/>
      <c r="Q45" s="6"/>
      <c r="R45" s="6"/>
      <c r="S45" s="6"/>
      <c r="T45" s="6"/>
      <c r="U45" s="6"/>
      <c r="V45" s="6"/>
    </row>
    <row r="46" spans="1:25" x14ac:dyDescent="0.55000000000000004">
      <c r="A46" s="1" t="s">
        <v>43</v>
      </c>
      <c r="I46" s="26">
        <f>STDEV(L27:L43)</f>
        <v>0.12418189617368883</v>
      </c>
    </row>
    <row r="47" spans="1:25" x14ac:dyDescent="0.55000000000000004">
      <c r="A47" s="1" t="s">
        <v>44</v>
      </c>
      <c r="I47" s="13">
        <f>((1+I45)^(1/I52))-1</f>
        <v>5.9053063589396881E-2</v>
      </c>
    </row>
    <row r="48" spans="1:25" x14ac:dyDescent="0.55000000000000004">
      <c r="A48" s="1" t="s">
        <v>45</v>
      </c>
      <c r="I48" s="28">
        <f>J35</f>
        <v>-45340.900459422148</v>
      </c>
    </row>
    <row r="49" spans="1:9" x14ac:dyDescent="0.55000000000000004">
      <c r="A49" s="1" t="s">
        <v>46</v>
      </c>
      <c r="I49" s="29">
        <f>K35</f>
        <v>-0.27307507008587317</v>
      </c>
    </row>
    <row r="50" spans="1:9" x14ac:dyDescent="0.55000000000000004">
      <c r="A50" s="3" t="s">
        <v>47</v>
      </c>
      <c r="I50" s="30">
        <f>I44-I43</f>
        <v>0</v>
      </c>
    </row>
    <row r="51" spans="1:9" x14ac:dyDescent="0.55000000000000004">
      <c r="A51" s="3" t="s">
        <v>149</v>
      </c>
      <c r="I51" s="30">
        <f>((SUM(J27:J43))-(I44-I26))</f>
        <v>0</v>
      </c>
    </row>
    <row r="52" spans="1:9" x14ac:dyDescent="0.55000000000000004">
      <c r="A52" s="3" t="s">
        <v>156</v>
      </c>
      <c r="I52" s="66">
        <f>COUNTA(I27:I43)</f>
        <v>17</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topLeftCell="A21" workbookViewId="0">
      <pane ySplit="858" topLeftCell="A23" activePane="bottomLeft"/>
      <selection activeCell="X21" sqref="X1:Y1048576"/>
      <selection pane="bottomLeft" activeCell="A52" sqref="A52:I52"/>
    </sheetView>
  </sheetViews>
  <sheetFormatPr defaultColWidth="8.83984375" defaultRowHeight="14.4" x14ac:dyDescent="0.55000000000000004"/>
  <cols>
    <col min="1" max="1" width="25.41796875" customWidth="1"/>
    <col min="9" max="9" width="10.68359375" customWidth="1"/>
    <col min="10" max="10" width="10" bestFit="1" customWidth="1"/>
    <col min="38" max="39" width="10.83984375" bestFit="1" customWidth="1"/>
    <col min="42" max="42" width="10.83984375" bestFit="1" customWidth="1"/>
    <col min="44" max="44" width="10.83984375" bestFit="1" customWidth="1"/>
    <col min="45" max="45" width="11.41796875" customWidth="1"/>
  </cols>
  <sheetData>
    <row r="1" spans="1:8" x14ac:dyDescent="0.55000000000000004">
      <c r="A1" s="18" t="s">
        <v>96</v>
      </c>
    </row>
    <row r="2" spans="1:8" x14ac:dyDescent="0.55000000000000004">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55000000000000004">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55000000000000004">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55000000000000004">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55000000000000004">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55000000000000004">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55000000000000004">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55000000000000004">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55000000000000004">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55000000000000004">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55000000000000004">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55000000000000004">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55000000000000004">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55000000000000004">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55000000000000004">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55000000000000004">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55000000000000004">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55000000000000004">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55000000000000004">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2" spans="1:46" x14ac:dyDescent="0.55000000000000004">
      <c r="A22" s="32"/>
    </row>
    <row r="23" spans="1:46" x14ac:dyDescent="0.55000000000000004">
      <c r="A23" s="18" t="s">
        <v>12</v>
      </c>
      <c r="O23" s="18" t="s">
        <v>13</v>
      </c>
      <c r="AA23" s="18" t="s">
        <v>31</v>
      </c>
      <c r="AK23" s="18" t="s">
        <v>34</v>
      </c>
    </row>
    <row r="24" spans="1:46"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P24" s="4" t="str">
        <f>B24</f>
        <v>LC Stocks</v>
      </c>
      <c r="Q24" s="4" t="str">
        <f t="shared" ref="Q24:V25" si="1">C24</f>
        <v>Ext Mkt</v>
      </c>
      <c r="R24" s="4" t="str">
        <f t="shared" si="1"/>
        <v>Mcap Stk</v>
      </c>
      <c r="S24" s="4" t="str">
        <f t="shared" si="1"/>
        <v>Small Cap</v>
      </c>
      <c r="T24" s="4" t="str">
        <f t="shared" si="1"/>
        <v>Intl Val</v>
      </c>
      <c r="U24" s="4" t="str">
        <f t="shared" si="1"/>
        <v>Tot Int Stk</v>
      </c>
      <c r="V24" s="4" t="str">
        <f t="shared" si="1"/>
        <v>Bonds</v>
      </c>
      <c r="W24" s="5"/>
      <c r="X24" s="5" t="s">
        <v>6</v>
      </c>
      <c r="Y24" s="3" t="s">
        <v>7</v>
      </c>
      <c r="AB24" s="4" t="str">
        <f t="shared" ref="AB24:AH26" si="2">P24</f>
        <v>LC Stocks</v>
      </c>
      <c r="AC24" s="4" t="str">
        <f t="shared" si="2"/>
        <v>Ext Mkt</v>
      </c>
      <c r="AD24" s="4" t="str">
        <f t="shared" si="2"/>
        <v>Mcap Stk</v>
      </c>
      <c r="AE24" s="4" t="str">
        <f t="shared" si="2"/>
        <v>Small Cap</v>
      </c>
      <c r="AF24" s="4" t="str">
        <f t="shared" si="2"/>
        <v>Intl Val</v>
      </c>
      <c r="AG24" s="4" t="str">
        <f t="shared" si="2"/>
        <v>Tot Int Stk</v>
      </c>
      <c r="AH24" s="4" t="str">
        <f t="shared" si="2"/>
        <v>Bonds</v>
      </c>
      <c r="AI24" s="5"/>
      <c r="AL24" s="4" t="str">
        <f>AB24</f>
        <v>LC Stocks</v>
      </c>
      <c r="AM24" s="4" t="str">
        <f t="shared" ref="AM24:AS26" si="3">AC24</f>
        <v>Ext Mkt</v>
      </c>
      <c r="AN24" s="4" t="str">
        <f t="shared" si="3"/>
        <v>Mcap Stk</v>
      </c>
      <c r="AO24" s="4" t="str">
        <f t="shared" si="3"/>
        <v>Small Cap</v>
      </c>
      <c r="AP24" s="4" t="str">
        <f t="shared" si="3"/>
        <v>Intl Val</v>
      </c>
      <c r="AQ24" s="4" t="str">
        <f t="shared" si="3"/>
        <v>Tot Int Stk</v>
      </c>
      <c r="AR24" s="4" t="str">
        <f t="shared" si="3"/>
        <v>Bonds</v>
      </c>
      <c r="AS24" s="4"/>
      <c r="AT24" t="s">
        <v>51</v>
      </c>
    </row>
    <row r="25" spans="1:46"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O25" t="s">
        <v>117</v>
      </c>
      <c r="P25" s="4" t="str">
        <f>B25</f>
        <v>VFINX</v>
      </c>
      <c r="Q25" s="4" t="str">
        <f t="shared" si="1"/>
        <v>VEXMX</v>
      </c>
      <c r="R25" s="4" t="str">
        <f t="shared" si="1"/>
        <v>VIMSX</v>
      </c>
      <c r="S25" s="4" t="str">
        <f t="shared" si="1"/>
        <v>NAESX</v>
      </c>
      <c r="T25" s="4" t="str">
        <f t="shared" si="1"/>
        <v>VTRIX</v>
      </c>
      <c r="U25" s="4" t="str">
        <f t="shared" si="1"/>
        <v>VGTSX</v>
      </c>
      <c r="V25" s="4" t="str">
        <f t="shared" si="1"/>
        <v>VBMFX</v>
      </c>
      <c r="W25" s="5" t="s">
        <v>115</v>
      </c>
      <c r="X25" s="5" t="s">
        <v>7</v>
      </c>
      <c r="Y25" s="3" t="s">
        <v>50</v>
      </c>
      <c r="AA25" t="str">
        <f>O25</f>
        <v>Fund</v>
      </c>
      <c r="AB25" s="4" t="str">
        <f t="shared" si="2"/>
        <v>VFINX</v>
      </c>
      <c r="AC25" s="4" t="str">
        <f t="shared" si="2"/>
        <v>VEXMX</v>
      </c>
      <c r="AD25" s="4" t="str">
        <f t="shared" si="2"/>
        <v>VIMSX</v>
      </c>
      <c r="AE25" s="4" t="str">
        <f t="shared" si="2"/>
        <v>NAESX</v>
      </c>
      <c r="AF25" s="4" t="str">
        <f t="shared" si="2"/>
        <v>VTRIX</v>
      </c>
      <c r="AG25" s="4" t="str">
        <f t="shared" si="2"/>
        <v>VGTSX</v>
      </c>
      <c r="AH25" s="4" t="str">
        <f t="shared" si="2"/>
        <v>VBMFX</v>
      </c>
      <c r="AI25" s="4" t="str">
        <f>W25</f>
        <v>Total</v>
      </c>
      <c r="AK25" t="s">
        <v>117</v>
      </c>
      <c r="AL25" s="4" t="str">
        <f>AB25</f>
        <v>VFINX</v>
      </c>
      <c r="AM25" s="4" t="str">
        <f t="shared" si="3"/>
        <v>VEXMX</v>
      </c>
      <c r="AN25" s="4" t="str">
        <f t="shared" si="3"/>
        <v>VIMSX</v>
      </c>
      <c r="AO25" s="4" t="str">
        <f t="shared" si="3"/>
        <v>NAESX</v>
      </c>
      <c r="AP25" s="4" t="str">
        <f t="shared" si="3"/>
        <v>VTRIX</v>
      </c>
      <c r="AQ25" s="4" t="str">
        <f t="shared" si="3"/>
        <v>VGTSX</v>
      </c>
      <c r="AR25" s="4" t="str">
        <f t="shared" si="3"/>
        <v>VBMFX</v>
      </c>
      <c r="AS25" s="4" t="str">
        <f t="shared" si="3"/>
        <v>Total</v>
      </c>
      <c r="AT25" t="s">
        <v>50</v>
      </c>
    </row>
    <row r="26" spans="1:46" x14ac:dyDescent="0.55000000000000004">
      <c r="A26" t="s">
        <v>116</v>
      </c>
      <c r="B26" s="2">
        <f>'Non-Rebalanced Portfolio'!B26</f>
        <v>20000</v>
      </c>
      <c r="C26" s="2">
        <f>'Non-Rebalanced Portfolio'!C26</f>
        <v>0</v>
      </c>
      <c r="D26" s="2">
        <f>'Non-Rebalanced Portfolio'!D26</f>
        <v>20000</v>
      </c>
      <c r="E26" s="2">
        <f>'Non-Rebalanced Portfolio'!E26</f>
        <v>10000</v>
      </c>
      <c r="F26" s="2"/>
      <c r="G26" s="2">
        <f>'Non-Rebalanced Portfolio'!G26</f>
        <v>20000</v>
      </c>
      <c r="H26" s="2">
        <f>'Non-Rebalanced Portfolio'!H26</f>
        <v>30000</v>
      </c>
      <c r="I26" s="2">
        <f>SUM(B26:H26)</f>
        <v>100000</v>
      </c>
      <c r="O26" s="19" t="s">
        <v>49</v>
      </c>
      <c r="P26" s="20">
        <f>B26/$I26</f>
        <v>0.2</v>
      </c>
      <c r="Q26" s="20"/>
      <c r="R26" s="53">
        <f>'Non-Rebalanced Portfolio'!R26</f>
        <v>0.2</v>
      </c>
      <c r="S26" s="53">
        <f>'Non-Rebalanced Portfolio'!S26</f>
        <v>0.1</v>
      </c>
      <c r="T26" s="20"/>
      <c r="U26" s="53">
        <f>'Non-Rebalanced Portfolio'!U26</f>
        <v>0.2</v>
      </c>
      <c r="V26" s="20">
        <f>H26/$I26</f>
        <v>0.3</v>
      </c>
      <c r="W26" s="20">
        <f>I26/$I26</f>
        <v>1</v>
      </c>
      <c r="X26" s="22"/>
      <c r="AA26" s="19" t="str">
        <f>O26</f>
        <v>Target Allocation</v>
      </c>
      <c r="AB26" s="22">
        <f t="shared" si="2"/>
        <v>0.2</v>
      </c>
      <c r="AC26" s="22">
        <f t="shared" si="2"/>
        <v>0</v>
      </c>
      <c r="AD26" s="23">
        <f t="shared" si="2"/>
        <v>0.2</v>
      </c>
      <c r="AE26" s="23">
        <f t="shared" si="2"/>
        <v>0.1</v>
      </c>
      <c r="AF26" s="22">
        <f t="shared" si="2"/>
        <v>0</v>
      </c>
      <c r="AG26" s="23">
        <f t="shared" si="2"/>
        <v>0.2</v>
      </c>
      <c r="AH26" s="22">
        <f t="shared" si="2"/>
        <v>0.3</v>
      </c>
      <c r="AI26" s="22">
        <f>W26</f>
        <v>1</v>
      </c>
      <c r="AK26" s="19" t="str">
        <f>AA26</f>
        <v>Target Allocation</v>
      </c>
      <c r="AL26" s="22">
        <f>AB26</f>
        <v>0.2</v>
      </c>
      <c r="AM26" s="22">
        <f t="shared" si="3"/>
        <v>0</v>
      </c>
      <c r="AN26" s="23">
        <f t="shared" si="3"/>
        <v>0.2</v>
      </c>
      <c r="AO26" s="23">
        <f t="shared" si="3"/>
        <v>0.1</v>
      </c>
      <c r="AP26" s="22">
        <f t="shared" si="3"/>
        <v>0</v>
      </c>
      <c r="AQ26" s="23">
        <f t="shared" si="3"/>
        <v>0.2</v>
      </c>
      <c r="AR26" s="22">
        <f t="shared" si="3"/>
        <v>0.3</v>
      </c>
      <c r="AS26" s="22">
        <f t="shared" si="3"/>
        <v>1</v>
      </c>
      <c r="AT26" s="2"/>
    </row>
    <row r="27" spans="1:46" x14ac:dyDescent="0.55000000000000004">
      <c r="A27">
        <f t="shared" ref="A27:A41" si="4">A4</f>
        <v>2000</v>
      </c>
      <c r="B27" s="2">
        <f>B26*(1+(B4/100))</f>
        <v>18188</v>
      </c>
      <c r="C27" s="2">
        <f>C26*(1+(C4/100))</f>
        <v>0</v>
      </c>
      <c r="D27" s="2">
        <f>D26*(1+(D4/100))</f>
        <v>23619.599999999999</v>
      </c>
      <c r="E27" s="2">
        <f>E26*(1+(E4/100))</f>
        <v>9733.5</v>
      </c>
      <c r="F27" s="2"/>
      <c r="G27" s="2">
        <f>G26*(1+(G4/100))</f>
        <v>16877.2</v>
      </c>
      <c r="H27" s="2">
        <f>H26*(1+(H4/100))</f>
        <v>33417</v>
      </c>
      <c r="I27" s="2">
        <f>SUM(B27:H27)</f>
        <v>101835.3</v>
      </c>
      <c r="J27" s="2">
        <f>I27-I26</f>
        <v>1835.3000000000029</v>
      </c>
      <c r="K27" s="6">
        <f>(J27/I26)</f>
        <v>1.8353000000000029E-2</v>
      </c>
      <c r="L27" s="7">
        <f>K27+1</f>
        <v>1.0183530000000001</v>
      </c>
      <c r="O27">
        <f>A27</f>
        <v>2000</v>
      </c>
      <c r="P27" s="6">
        <f t="shared" ref="P27:U39" si="5">B27/$I27</f>
        <v>0.17860211537649517</v>
      </c>
      <c r="Q27" s="6"/>
      <c r="R27" s="6">
        <f t="shared" ref="R27:U37" si="6">D27/$I27</f>
        <v>0.23193921950443508</v>
      </c>
      <c r="S27" s="6">
        <f t="shared" si="6"/>
        <v>9.5580805477079159E-2</v>
      </c>
      <c r="T27" s="6"/>
      <c r="U27" s="6">
        <f t="shared" si="6"/>
        <v>0.16573035087047419</v>
      </c>
      <c r="V27" s="6">
        <f t="shared" ref="V27:V39" si="7">H27/$I27</f>
        <v>0.32814750877151633</v>
      </c>
      <c r="W27" s="6">
        <f>SUM(P27:V27)</f>
        <v>0.99999999999999989</v>
      </c>
      <c r="X27" s="7">
        <f>SUM(P27:U27)</f>
        <v>0.67185249122848356</v>
      </c>
      <c r="Y27" s="7">
        <f>W27-(X27+V27)</f>
        <v>0</v>
      </c>
      <c r="AA27">
        <f>O27</f>
        <v>2000</v>
      </c>
      <c r="AB27" s="1" t="b">
        <f t="shared" ref="AB27:AB37" si="8">AND((B27/$I27)&gt;0.15,(B27/$I27)&lt;0.25)</f>
        <v>1</v>
      </c>
      <c r="AD27" s="1" t="b">
        <f t="shared" ref="AD27:AD37" si="9">AND((D27/$I27)&gt;0.15,(D27/$I27)&lt;0.25)</f>
        <v>1</v>
      </c>
      <c r="AE27" s="1" t="b">
        <f t="shared" ref="AE27:AE37" si="10">AND((E27/$I27)&gt;0.05,(E27/$I27)&lt;0.15)</f>
        <v>1</v>
      </c>
      <c r="AG27" s="1" t="b">
        <f t="shared" ref="AG27:AG37" si="11">AND((G27/$I27)&gt;0.15,(G27/$I27)&lt;0.25)</f>
        <v>1</v>
      </c>
      <c r="AH27" s="1" t="b">
        <f t="shared" ref="AH27:AH37" si="12">AND((H27/$I27)&gt;0.25,(H27/$I27)&lt;0.35)</f>
        <v>1</v>
      </c>
      <c r="AI27" s="1" t="b">
        <f>AND((I27/$I27)&gt;0.999,(I27/$I27)&lt;1.01)</f>
        <v>1</v>
      </c>
      <c r="AK27">
        <f>A27</f>
        <v>2000</v>
      </c>
      <c r="AL27" s="2">
        <f>B27</f>
        <v>18188</v>
      </c>
      <c r="AM27" s="2"/>
      <c r="AN27" s="2">
        <f>D27</f>
        <v>23619.599999999999</v>
      </c>
      <c r="AO27" s="2">
        <f>E27</f>
        <v>9733.5</v>
      </c>
      <c r="AP27" s="2"/>
      <c r="AQ27" s="2">
        <f>G27</f>
        <v>16877.2</v>
      </c>
      <c r="AR27" s="2">
        <f t="shared" ref="AR27" si="13">H27</f>
        <v>33417</v>
      </c>
      <c r="AS27" s="2">
        <f>I27</f>
        <v>101835.3</v>
      </c>
      <c r="AT27" s="2">
        <f>(SUM(AL27:AR27))-AS27</f>
        <v>0</v>
      </c>
    </row>
    <row r="28" spans="1:46" x14ac:dyDescent="0.55000000000000004">
      <c r="A28">
        <f t="shared" si="4"/>
        <v>2001</v>
      </c>
      <c r="B28" s="2">
        <f t="shared" ref="B28:B39" si="14">AL27*(1+(B5/100))</f>
        <v>16001.8024</v>
      </c>
      <c r="C28" s="2">
        <f t="shared" ref="C28:C39" si="15">AM27*(1+(C5/100))</f>
        <v>0</v>
      </c>
      <c r="D28" s="2">
        <f t="shared" ref="D28:D39" si="16">AN27*(1+(D5/100))</f>
        <v>23501.738195999998</v>
      </c>
      <c r="E28" s="2">
        <f t="shared" ref="E28:E39" si="17">AO27*(1+(E5/100))</f>
        <v>10035.238499999999</v>
      </c>
      <c r="F28" s="2"/>
      <c r="G28" s="2">
        <f t="shared" ref="G28:G39" si="18">AQ27*(1+(G5/100))</f>
        <v>13475.937884000001</v>
      </c>
      <c r="H28" s="2">
        <f t="shared" ref="H28:H39" si="19">AR27*(1+(H5/100))</f>
        <v>36234.053100000005</v>
      </c>
      <c r="I28" s="2">
        <f t="shared" ref="I28:I39" si="20">SUM(B28:H28)</f>
        <v>99248.770080000002</v>
      </c>
      <c r="J28" s="2">
        <f t="shared" ref="J28:J39" si="21">I28-I27</f>
        <v>-2586.5299200000009</v>
      </c>
      <c r="K28" s="6">
        <f t="shared" ref="K28:K39" si="22">(J28/I27)</f>
        <v>-2.5399148625280241E-2</v>
      </c>
      <c r="L28" s="7">
        <f t="shared" ref="L28:L39" si="23">K28+1</f>
        <v>0.97460085137471975</v>
      </c>
      <c r="O28">
        <f t="shared" ref="O28:O39" si="24">A28</f>
        <v>2001</v>
      </c>
      <c r="P28" s="6">
        <f t="shared" si="5"/>
        <v>0.16122922618690047</v>
      </c>
      <c r="Q28" s="6"/>
      <c r="R28" s="6">
        <f t="shared" si="6"/>
        <v>0.2367962663623569</v>
      </c>
      <c r="S28" s="6">
        <f t="shared" si="6"/>
        <v>0.10111196835901384</v>
      </c>
      <c r="T28" s="6"/>
      <c r="U28" s="57">
        <f t="shared" si="6"/>
        <v>0.13577939427498847</v>
      </c>
      <c r="V28" s="57">
        <f t="shared" si="7"/>
        <v>0.36508314481674031</v>
      </c>
      <c r="W28" s="6">
        <f t="shared" ref="W28:W39" si="25">SUM(P28:V28)</f>
        <v>0.99999999999999989</v>
      </c>
      <c r="X28" s="7">
        <f t="shared" ref="X28:X39" si="26">SUM(P28:U28)</f>
        <v>0.63491685518325958</v>
      </c>
      <c r="Y28" s="7">
        <f t="shared" ref="Y28:Y39" si="27">W28-(X28+V28)</f>
        <v>0</v>
      </c>
      <c r="AA28">
        <f t="shared" ref="AA28:AA39" si="28">O28</f>
        <v>2001</v>
      </c>
      <c r="AB28" s="1" t="b">
        <f t="shared" si="8"/>
        <v>1</v>
      </c>
      <c r="AD28" s="1" t="b">
        <f t="shared" si="9"/>
        <v>1</v>
      </c>
      <c r="AE28" s="1" t="b">
        <f t="shared" si="10"/>
        <v>1</v>
      </c>
      <c r="AG28" s="35" t="b">
        <f t="shared" si="11"/>
        <v>0</v>
      </c>
      <c r="AH28" s="35" t="b">
        <f t="shared" si="12"/>
        <v>0</v>
      </c>
      <c r="AI28" s="1" t="b">
        <f t="shared" ref="AI28:AI39" si="29">AND((I28/$I28)&gt;0.999,(I28/$I28)&lt;1.01)</f>
        <v>1</v>
      </c>
      <c r="AK28">
        <f t="shared" ref="AK28:AK39" si="30">A28</f>
        <v>2001</v>
      </c>
      <c r="AL28" s="36">
        <f>AL$26*$AS28</f>
        <v>19849.754016000003</v>
      </c>
      <c r="AM28" s="2"/>
      <c r="AN28" s="36">
        <f>AN$26*$AS28</f>
        <v>19849.754016000003</v>
      </c>
      <c r="AO28" s="36">
        <f>AO$26*$AS28</f>
        <v>9924.8770080000013</v>
      </c>
      <c r="AP28" s="2"/>
      <c r="AQ28" s="36">
        <f>AQ$26*$AS28</f>
        <v>19849.754016000003</v>
      </c>
      <c r="AR28" s="36">
        <f>AR$26*$AS28</f>
        <v>29774.631023999998</v>
      </c>
      <c r="AS28" s="2">
        <f t="shared" ref="AS28:AS30" si="31">I28</f>
        <v>99248.770080000002</v>
      </c>
      <c r="AT28" s="2">
        <f t="shared" ref="AT28:AT39" si="32">(SUM(AL28:AR28))-AS28</f>
        <v>0</v>
      </c>
    </row>
    <row r="29" spans="1:46" x14ac:dyDescent="0.55000000000000004">
      <c r="A29">
        <f t="shared" si="4"/>
        <v>2002</v>
      </c>
      <c r="B29" s="2">
        <f t="shared" si="14"/>
        <v>15453.033501456001</v>
      </c>
      <c r="C29" s="2">
        <f t="shared" si="15"/>
        <v>0</v>
      </c>
      <c r="D29" s="2">
        <f t="shared" si="16"/>
        <v>16950.101949342723</v>
      </c>
      <c r="E29" s="2">
        <f t="shared" si="17"/>
        <v>7937.7181334582419</v>
      </c>
      <c r="F29" s="2"/>
      <c r="G29" s="2">
        <f t="shared" si="18"/>
        <v>16855.815617766722</v>
      </c>
      <c r="H29" s="2">
        <f t="shared" si="19"/>
        <v>32234.015546582399</v>
      </c>
      <c r="I29" s="2">
        <f t="shared" ref="I29:I35" si="33">SUM(B29:H29)</f>
        <v>89430.684748606087</v>
      </c>
      <c r="J29" s="2">
        <f t="shared" si="21"/>
        <v>-9818.0853313939151</v>
      </c>
      <c r="K29" s="6">
        <f t="shared" si="22"/>
        <v>-9.8923999999999943E-2</v>
      </c>
      <c r="L29" s="7">
        <f t="shared" si="23"/>
        <v>0.9010760000000001</v>
      </c>
      <c r="O29">
        <f t="shared" si="24"/>
        <v>2002</v>
      </c>
      <c r="P29" s="6">
        <f t="shared" si="5"/>
        <v>0.17279341587169117</v>
      </c>
      <c r="Q29" s="6"/>
      <c r="R29" s="6">
        <f t="shared" si="6"/>
        <v>0.18953340228793134</v>
      </c>
      <c r="S29" s="6">
        <f t="shared" si="6"/>
        <v>8.8758328931188943E-2</v>
      </c>
      <c r="T29" s="6"/>
      <c r="U29" s="6">
        <f t="shared" si="5"/>
        <v>0.18847910720072447</v>
      </c>
      <c r="V29" s="6">
        <f t="shared" si="7"/>
        <v>0.36043574570846404</v>
      </c>
      <c r="W29" s="6">
        <f t="shared" si="25"/>
        <v>1</v>
      </c>
      <c r="X29" s="7">
        <f t="shared" si="26"/>
        <v>0.63956425429153596</v>
      </c>
      <c r="Y29" s="7">
        <f t="shared" si="27"/>
        <v>0</v>
      </c>
      <c r="AA29">
        <f t="shared" si="28"/>
        <v>2002</v>
      </c>
      <c r="AB29" s="1" t="b">
        <f t="shared" si="8"/>
        <v>1</v>
      </c>
      <c r="AD29" s="1" t="b">
        <f t="shared" si="9"/>
        <v>1</v>
      </c>
      <c r="AE29" s="1" t="b">
        <f t="shared" si="10"/>
        <v>1</v>
      </c>
      <c r="AG29" s="1" t="b">
        <f t="shared" si="11"/>
        <v>1</v>
      </c>
      <c r="AH29" s="1" t="b">
        <f t="shared" si="12"/>
        <v>0</v>
      </c>
      <c r="AI29" s="1" t="b">
        <f t="shared" si="29"/>
        <v>1</v>
      </c>
      <c r="AK29">
        <f t="shared" si="30"/>
        <v>2002</v>
      </c>
      <c r="AL29" s="2">
        <f t="shared" ref="AL29:AL30" si="34">B29</f>
        <v>15453.033501456001</v>
      </c>
      <c r="AM29" s="2"/>
      <c r="AN29" s="2">
        <f t="shared" ref="AN29:AN30" si="35">D29</f>
        <v>16950.101949342723</v>
      </c>
      <c r="AO29" s="2">
        <f t="shared" ref="AO29:AO30" si="36">E29</f>
        <v>7937.7181334582419</v>
      </c>
      <c r="AP29" s="2"/>
      <c r="AQ29" s="2">
        <f t="shared" ref="AQ29:AQ30" si="37">G29</f>
        <v>16855.815617766722</v>
      </c>
      <c r="AR29" s="2">
        <f t="shared" ref="AR29:AR30" si="38">H29</f>
        <v>32234.015546582399</v>
      </c>
      <c r="AS29" s="2">
        <f t="shared" si="31"/>
        <v>89430.684748606087</v>
      </c>
      <c r="AT29" s="2">
        <f t="shared" si="32"/>
        <v>0</v>
      </c>
    </row>
    <row r="30" spans="1:46" x14ac:dyDescent="0.55000000000000004">
      <c r="A30">
        <f t="shared" si="4"/>
        <v>2003</v>
      </c>
      <c r="B30" s="2">
        <f t="shared" si="14"/>
        <v>19857.148049370961</v>
      </c>
      <c r="C30" s="2">
        <f t="shared" si="15"/>
        <v>0</v>
      </c>
      <c r="D30" s="2">
        <f t="shared" si="16"/>
        <v>22737.205756887317</v>
      </c>
      <c r="E30" s="2">
        <f t="shared" si="17"/>
        <v>11559.540163392569</v>
      </c>
      <c r="F30" s="2"/>
      <c r="G30" s="2">
        <f t="shared" si="18"/>
        <v>23655.45163797382</v>
      </c>
      <c r="H30" s="2">
        <f t="shared" si="19"/>
        <v>33513.705963781722</v>
      </c>
      <c r="I30" s="2">
        <f t="shared" si="33"/>
        <v>111323.05157140639</v>
      </c>
      <c r="J30" s="2">
        <f t="shared" si="21"/>
        <v>21892.366822800308</v>
      </c>
      <c r="K30" s="6">
        <f t="shared" si="22"/>
        <v>0.2447970390066988</v>
      </c>
      <c r="L30" s="7">
        <f t="shared" si="23"/>
        <v>1.2447970390066989</v>
      </c>
      <c r="O30">
        <f t="shared" si="24"/>
        <v>2003</v>
      </c>
      <c r="P30" s="6">
        <f t="shared" si="5"/>
        <v>0.17837409026318246</v>
      </c>
      <c r="Q30" s="6"/>
      <c r="R30" s="6">
        <f t="shared" si="6"/>
        <v>0.20424526129974885</v>
      </c>
      <c r="S30" s="6">
        <f t="shared" si="6"/>
        <v>0.10383779460067968</v>
      </c>
      <c r="T30" s="6"/>
      <c r="U30" s="6">
        <f t="shared" si="5"/>
        <v>0.21249374055112394</v>
      </c>
      <c r="V30" s="6">
        <f t="shared" si="7"/>
        <v>0.30104911328526501</v>
      </c>
      <c r="W30" s="6">
        <f t="shared" si="25"/>
        <v>1</v>
      </c>
      <c r="X30" s="7">
        <f t="shared" si="26"/>
        <v>0.69895088671473493</v>
      </c>
      <c r="Y30" s="7">
        <f t="shared" si="27"/>
        <v>0</v>
      </c>
      <c r="AA30">
        <f t="shared" si="28"/>
        <v>2003</v>
      </c>
      <c r="AB30" s="1" t="b">
        <f t="shared" si="8"/>
        <v>1</v>
      </c>
      <c r="AD30" s="1" t="b">
        <f t="shared" si="9"/>
        <v>1</v>
      </c>
      <c r="AE30" s="1" t="b">
        <f t="shared" si="10"/>
        <v>1</v>
      </c>
      <c r="AG30" s="1" t="b">
        <f t="shared" si="11"/>
        <v>1</v>
      </c>
      <c r="AH30" s="1" t="b">
        <f t="shared" si="12"/>
        <v>1</v>
      </c>
      <c r="AI30" s="1" t="b">
        <f t="shared" si="29"/>
        <v>1</v>
      </c>
      <c r="AK30">
        <f t="shared" si="30"/>
        <v>2003</v>
      </c>
      <c r="AL30" s="2">
        <f t="shared" si="34"/>
        <v>19857.148049370961</v>
      </c>
      <c r="AM30" s="2"/>
      <c r="AN30" s="2">
        <f t="shared" si="35"/>
        <v>22737.205756887317</v>
      </c>
      <c r="AO30" s="2">
        <f t="shared" si="36"/>
        <v>11559.540163392569</v>
      </c>
      <c r="AP30" s="2"/>
      <c r="AQ30" s="2">
        <f t="shared" si="37"/>
        <v>23655.45163797382</v>
      </c>
      <c r="AR30" s="2">
        <f t="shared" si="38"/>
        <v>33513.705963781722</v>
      </c>
      <c r="AS30" s="2">
        <f t="shared" si="31"/>
        <v>111323.05157140639</v>
      </c>
      <c r="AT30" s="2">
        <f t="shared" si="32"/>
        <v>0</v>
      </c>
    </row>
    <row r="31" spans="1:46" x14ac:dyDescent="0.55000000000000004">
      <c r="A31">
        <f t="shared" si="4"/>
        <v>2004</v>
      </c>
      <c r="B31" s="2">
        <f t="shared" si="14"/>
        <v>21989.805749873402</v>
      </c>
      <c r="C31" s="2">
        <f t="shared" si="15"/>
        <v>0</v>
      </c>
      <c r="D31" s="2">
        <f t="shared" si="16"/>
        <v>27364.909244586594</v>
      </c>
      <c r="E31" s="2">
        <f t="shared" si="17"/>
        <v>13859.541869702789</v>
      </c>
      <c r="F31" s="2"/>
      <c r="G31" s="2">
        <f t="shared" si="18"/>
        <v>28584.538095778422</v>
      </c>
      <c r="H31" s="2">
        <f t="shared" si="19"/>
        <v>34934.68709664607</v>
      </c>
      <c r="I31" s="2">
        <f t="shared" si="33"/>
        <v>126733.48205658728</v>
      </c>
      <c r="J31" s="2">
        <f t="shared" si="21"/>
        <v>15410.430485180885</v>
      </c>
      <c r="K31" s="6">
        <f t="shared" si="22"/>
        <v>0.13842982444023383</v>
      </c>
      <c r="L31" s="7">
        <f t="shared" si="23"/>
        <v>1.1384298244402338</v>
      </c>
      <c r="O31">
        <f t="shared" si="24"/>
        <v>2004</v>
      </c>
      <c r="P31" s="6">
        <f t="shared" si="5"/>
        <v>0.17351220366575912</v>
      </c>
      <c r="Q31" s="6"/>
      <c r="R31" s="6">
        <f t="shared" si="6"/>
        <v>0.2159248590074089</v>
      </c>
      <c r="S31" s="6">
        <f t="shared" si="6"/>
        <v>0.10935974964780355</v>
      </c>
      <c r="T31" s="56"/>
      <c r="U31" s="6">
        <f t="shared" si="5"/>
        <v>0.22554843149512177</v>
      </c>
      <c r="V31" s="6">
        <f t="shared" si="7"/>
        <v>0.27565475618390661</v>
      </c>
      <c r="W31" s="6">
        <f t="shared" si="25"/>
        <v>1</v>
      </c>
      <c r="X31" s="7">
        <f t="shared" si="26"/>
        <v>0.72434524381609333</v>
      </c>
      <c r="Y31" s="7">
        <f t="shared" si="27"/>
        <v>0</v>
      </c>
      <c r="AA31">
        <f t="shared" si="28"/>
        <v>2004</v>
      </c>
      <c r="AB31" s="1" t="b">
        <f t="shared" si="8"/>
        <v>1</v>
      </c>
      <c r="AD31" s="1" t="b">
        <f t="shared" si="9"/>
        <v>1</v>
      </c>
      <c r="AE31" s="1" t="b">
        <f t="shared" si="10"/>
        <v>1</v>
      </c>
      <c r="AG31" s="1" t="b">
        <f t="shared" si="11"/>
        <v>1</v>
      </c>
      <c r="AH31" s="1" t="b">
        <f t="shared" si="12"/>
        <v>1</v>
      </c>
      <c r="AI31" s="1" t="b">
        <f t="shared" si="29"/>
        <v>1</v>
      </c>
      <c r="AK31">
        <f t="shared" si="30"/>
        <v>2004</v>
      </c>
      <c r="AL31" s="2">
        <f t="shared" ref="AL31:AL39" si="39">B31</f>
        <v>21989.805749873402</v>
      </c>
      <c r="AM31" s="2"/>
      <c r="AN31" s="2">
        <f t="shared" ref="AN31:AN39" si="40">D31</f>
        <v>27364.909244586594</v>
      </c>
      <c r="AO31" s="2">
        <f t="shared" ref="AO31:AO39" si="41">E31</f>
        <v>13859.541869702789</v>
      </c>
      <c r="AP31" s="2"/>
      <c r="AQ31" s="2">
        <f t="shared" ref="AQ31:AQ39" si="42">G31</f>
        <v>28584.538095778422</v>
      </c>
      <c r="AR31" s="2">
        <f t="shared" ref="AR31:AR39" si="43">H31</f>
        <v>34934.68709664607</v>
      </c>
      <c r="AS31" s="2">
        <f t="shared" ref="AS31:AS39" si="44">I31</f>
        <v>126733.48205658728</v>
      </c>
      <c r="AT31" s="2">
        <f t="shared" si="32"/>
        <v>0</v>
      </c>
    </row>
    <row r="32" spans="1:46" x14ac:dyDescent="0.55000000000000004">
      <c r="A32">
        <f t="shared" si="4"/>
        <v>2005</v>
      </c>
      <c r="B32" s="2">
        <f t="shared" si="14"/>
        <v>23038.719484142366</v>
      </c>
      <c r="C32" s="2">
        <f t="shared" si="15"/>
        <v>0</v>
      </c>
      <c r="D32" s="2">
        <f t="shared" si="16"/>
        <v>31177.114751449953</v>
      </c>
      <c r="E32" s="2">
        <f t="shared" si="17"/>
        <v>14880.019937569006</v>
      </c>
      <c r="F32" s="2"/>
      <c r="G32" s="2">
        <f t="shared" si="18"/>
        <v>33035.436522672084</v>
      </c>
      <c r="H32" s="2">
        <f t="shared" si="19"/>
        <v>35773.119586965578</v>
      </c>
      <c r="I32" s="2">
        <f t="shared" ref="I32" si="45">SUM(B32:H32)</f>
        <v>137904.41028279898</v>
      </c>
      <c r="J32" s="2">
        <f t="shared" si="21"/>
        <v>11170.928226211705</v>
      </c>
      <c r="K32" s="6">
        <f t="shared" si="22"/>
        <v>8.8145043006265827E-2</v>
      </c>
      <c r="L32" s="7">
        <f t="shared" si="23"/>
        <v>1.0881450430062658</v>
      </c>
      <c r="O32">
        <f t="shared" si="24"/>
        <v>2005</v>
      </c>
      <c r="P32" s="6">
        <f t="shared" si="5"/>
        <v>0.16706296366372278</v>
      </c>
      <c r="Q32" s="6"/>
      <c r="R32" s="6">
        <f t="shared" si="6"/>
        <v>0.22607772070171941</v>
      </c>
      <c r="S32" s="6">
        <f t="shared" si="6"/>
        <v>0.10790097218105441</v>
      </c>
      <c r="T32" s="56"/>
      <c r="U32" s="6">
        <f t="shared" si="5"/>
        <v>0.23955315464477672</v>
      </c>
      <c r="V32" s="6">
        <f t="shared" si="7"/>
        <v>0.25940518880872665</v>
      </c>
      <c r="W32" s="6">
        <f t="shared" si="25"/>
        <v>0.99999999999999989</v>
      </c>
      <c r="X32" s="7">
        <f t="shared" si="26"/>
        <v>0.74059481119127324</v>
      </c>
      <c r="Y32" s="7">
        <f t="shared" si="27"/>
        <v>0</v>
      </c>
      <c r="AA32">
        <f t="shared" si="28"/>
        <v>2005</v>
      </c>
      <c r="AB32" s="1" t="b">
        <f t="shared" si="8"/>
        <v>1</v>
      </c>
      <c r="AD32" s="1" t="b">
        <f t="shared" si="9"/>
        <v>1</v>
      </c>
      <c r="AE32" s="1" t="b">
        <f t="shared" si="10"/>
        <v>1</v>
      </c>
      <c r="AG32" s="1" t="b">
        <f t="shared" si="11"/>
        <v>1</v>
      </c>
      <c r="AH32" s="1" t="b">
        <f t="shared" si="12"/>
        <v>1</v>
      </c>
      <c r="AI32" s="1" t="b">
        <f t="shared" si="29"/>
        <v>1</v>
      </c>
      <c r="AK32">
        <f t="shared" si="30"/>
        <v>2005</v>
      </c>
      <c r="AL32" s="2">
        <f t="shared" si="39"/>
        <v>23038.719484142366</v>
      </c>
      <c r="AM32" s="2"/>
      <c r="AN32" s="2">
        <f t="shared" si="40"/>
        <v>31177.114751449953</v>
      </c>
      <c r="AO32" s="2">
        <f t="shared" si="41"/>
        <v>14880.019937569006</v>
      </c>
      <c r="AP32" s="2"/>
      <c r="AQ32" s="2">
        <f t="shared" si="42"/>
        <v>33035.436522672084</v>
      </c>
      <c r="AR32" s="2">
        <f t="shared" si="43"/>
        <v>35773.119586965578</v>
      </c>
      <c r="AS32" s="2">
        <f t="shared" si="44"/>
        <v>137904.41028279898</v>
      </c>
      <c r="AT32" s="2">
        <f t="shared" si="32"/>
        <v>0</v>
      </c>
    </row>
    <row r="33" spans="1:47" x14ac:dyDescent="0.55000000000000004">
      <c r="A33">
        <f t="shared" si="4"/>
        <v>2006</v>
      </c>
      <c r="B33" s="2">
        <f t="shared" si="14"/>
        <v>26641.975211462235</v>
      </c>
      <c r="C33" s="2">
        <f t="shared" si="15"/>
        <v>0</v>
      </c>
      <c r="D33" s="2">
        <f t="shared" si="16"/>
        <v>35416.2670442046</v>
      </c>
      <c r="E33" s="2">
        <f t="shared" si="17"/>
        <v>17209.63585899481</v>
      </c>
      <c r="F33" s="2"/>
      <c r="G33" s="2">
        <f t="shared" si="18"/>
        <v>41835.085749216247</v>
      </c>
      <c r="H33" s="2">
        <f t="shared" si="19"/>
        <v>37300.631793329005</v>
      </c>
      <c r="I33" s="2">
        <f t="shared" si="33"/>
        <v>158403.5956572069</v>
      </c>
      <c r="J33" s="2">
        <f t="shared" si="21"/>
        <v>20499.185374407913</v>
      </c>
      <c r="K33" s="6">
        <f t="shared" si="22"/>
        <v>0.14864778677034671</v>
      </c>
      <c r="L33" s="7">
        <f t="shared" si="23"/>
        <v>1.1486477867703466</v>
      </c>
      <c r="O33">
        <f t="shared" si="24"/>
        <v>2006</v>
      </c>
      <c r="P33" s="6">
        <f t="shared" si="5"/>
        <v>0.16819047005168222</v>
      </c>
      <c r="Q33" s="6"/>
      <c r="R33" s="6">
        <f t="shared" si="6"/>
        <v>0.22358246918111083</v>
      </c>
      <c r="S33" s="6">
        <f t="shared" si="6"/>
        <v>0.10864422482073767</v>
      </c>
      <c r="T33" s="6"/>
      <c r="U33" s="57">
        <f t="shared" si="5"/>
        <v>0.26410439469915453</v>
      </c>
      <c r="V33" s="57">
        <f t="shared" si="7"/>
        <v>0.23547844124731479</v>
      </c>
      <c r="W33" s="6">
        <f t="shared" si="25"/>
        <v>1</v>
      </c>
      <c r="X33" s="7">
        <f t="shared" si="26"/>
        <v>0.76452155875268524</v>
      </c>
      <c r="Y33" s="7">
        <f t="shared" si="27"/>
        <v>0</v>
      </c>
      <c r="AA33">
        <f t="shared" si="28"/>
        <v>2006</v>
      </c>
      <c r="AB33" s="1" t="b">
        <f t="shared" si="8"/>
        <v>1</v>
      </c>
      <c r="AD33" s="1" t="b">
        <f t="shared" si="9"/>
        <v>1</v>
      </c>
      <c r="AE33" s="1" t="b">
        <f t="shared" si="10"/>
        <v>1</v>
      </c>
      <c r="AG33" s="35" t="b">
        <f t="shared" si="11"/>
        <v>0</v>
      </c>
      <c r="AH33" s="35" t="b">
        <f t="shared" si="12"/>
        <v>0</v>
      </c>
      <c r="AI33" s="1" t="b">
        <f t="shared" si="29"/>
        <v>1</v>
      </c>
      <c r="AK33">
        <f t="shared" si="30"/>
        <v>2006</v>
      </c>
      <c r="AL33" s="36">
        <f>AL$26*$AS33</f>
        <v>31680.719131441379</v>
      </c>
      <c r="AM33" s="2"/>
      <c r="AN33" s="36">
        <f>AN$26*$AS33</f>
        <v>31680.719131441379</v>
      </c>
      <c r="AO33" s="36">
        <f>AO$26*$AS33</f>
        <v>15840.35956572069</v>
      </c>
      <c r="AP33" s="2"/>
      <c r="AQ33" s="36">
        <f>AQ$26*$AS33</f>
        <v>31680.719131441379</v>
      </c>
      <c r="AR33" s="36">
        <f>AR$26*$AS33</f>
        <v>47521.078697162069</v>
      </c>
      <c r="AS33" s="2">
        <f t="shared" si="44"/>
        <v>158403.5956572069</v>
      </c>
      <c r="AT33" s="2">
        <f t="shared" si="32"/>
        <v>0</v>
      </c>
    </row>
    <row r="34" spans="1:47" x14ac:dyDescent="0.55000000000000004">
      <c r="A34">
        <f t="shared" si="4"/>
        <v>2007</v>
      </c>
      <c r="B34" s="2">
        <f t="shared" si="14"/>
        <v>33388.309892626072</v>
      </c>
      <c r="C34" s="2">
        <f t="shared" si="15"/>
        <v>0</v>
      </c>
      <c r="D34" s="2">
        <f t="shared" si="16"/>
        <v>33588.215230345471</v>
      </c>
      <c r="E34" s="2">
        <f t="shared" si="17"/>
        <v>16023.47412230042</v>
      </c>
      <c r="F34" s="2"/>
      <c r="G34" s="2">
        <f t="shared" si="18"/>
        <v>36598.200355023706</v>
      </c>
      <c r="H34" s="2">
        <f t="shared" si="19"/>
        <v>50809.537343005679</v>
      </c>
      <c r="I34" s="2">
        <f t="shared" si="33"/>
        <v>170407.73694330134</v>
      </c>
      <c r="J34" s="2">
        <f t="shared" si="21"/>
        <v>12004.14128609444</v>
      </c>
      <c r="K34" s="6">
        <f t="shared" si="22"/>
        <v>7.5781999999999919E-2</v>
      </c>
      <c r="L34" s="7">
        <f t="shared" si="23"/>
        <v>1.075782</v>
      </c>
      <c r="O34">
        <f t="shared" si="24"/>
        <v>2007</v>
      </c>
      <c r="P34" s="6">
        <f t="shared" si="5"/>
        <v>0.19593188954639512</v>
      </c>
      <c r="Q34" s="6"/>
      <c r="R34" s="6">
        <f t="shared" si="6"/>
        <v>0.19710498967262891</v>
      </c>
      <c r="S34" s="6">
        <f t="shared" si="6"/>
        <v>9.4030203145246904E-2</v>
      </c>
      <c r="T34" s="6"/>
      <c r="U34" s="6">
        <f t="shared" si="5"/>
        <v>0.21476841962405022</v>
      </c>
      <c r="V34" s="6">
        <f t="shared" si="7"/>
        <v>0.29816449801167894</v>
      </c>
      <c r="W34" s="6">
        <f t="shared" si="25"/>
        <v>1</v>
      </c>
      <c r="X34" s="7">
        <f t="shared" si="26"/>
        <v>0.70183550198832112</v>
      </c>
      <c r="Y34" s="7">
        <f t="shared" si="27"/>
        <v>0</v>
      </c>
      <c r="AA34">
        <f t="shared" si="28"/>
        <v>2007</v>
      </c>
      <c r="AB34" s="1" t="b">
        <f t="shared" si="8"/>
        <v>1</v>
      </c>
      <c r="AD34" s="1" t="b">
        <f t="shared" si="9"/>
        <v>1</v>
      </c>
      <c r="AE34" s="1" t="b">
        <f t="shared" si="10"/>
        <v>1</v>
      </c>
      <c r="AG34" s="1" t="b">
        <f t="shared" si="11"/>
        <v>1</v>
      </c>
      <c r="AH34" s="1" t="b">
        <f t="shared" si="12"/>
        <v>1</v>
      </c>
      <c r="AI34" s="1" t="b">
        <f t="shared" si="29"/>
        <v>1</v>
      </c>
      <c r="AK34">
        <f t="shared" si="30"/>
        <v>2007</v>
      </c>
      <c r="AL34" s="2">
        <f t="shared" si="39"/>
        <v>33388.309892626072</v>
      </c>
      <c r="AM34" s="2"/>
      <c r="AN34" s="2">
        <f t="shared" si="40"/>
        <v>33588.215230345471</v>
      </c>
      <c r="AO34" s="2">
        <f t="shared" si="41"/>
        <v>16023.47412230042</v>
      </c>
      <c r="AP34" s="2"/>
      <c r="AQ34" s="2">
        <f t="shared" si="42"/>
        <v>36598.200355023706</v>
      </c>
      <c r="AR34" s="2">
        <f t="shared" si="43"/>
        <v>50809.537343005679</v>
      </c>
      <c r="AS34" s="2">
        <f t="shared" si="44"/>
        <v>170407.73694330134</v>
      </c>
      <c r="AT34" s="2">
        <f t="shared" si="32"/>
        <v>0</v>
      </c>
    </row>
    <row r="35" spans="1:47" x14ac:dyDescent="0.55000000000000004">
      <c r="A35">
        <f t="shared" si="4"/>
        <v>2008</v>
      </c>
      <c r="B35" s="2">
        <f t="shared" si="14"/>
        <v>21027.957570375896</v>
      </c>
      <c r="C35" s="2">
        <f t="shared" si="15"/>
        <v>0</v>
      </c>
      <c r="D35" s="2">
        <f t="shared" si="16"/>
        <v>19540.280092405785</v>
      </c>
      <c r="E35" s="2">
        <f t="shared" si="17"/>
        <v>10243.807006386658</v>
      </c>
      <c r="F35" s="2"/>
      <c r="G35" s="2">
        <f t="shared" si="18"/>
        <v>20458.0280164547</v>
      </c>
      <c r="H35" s="2">
        <f t="shared" si="19"/>
        <v>53375.418978827467</v>
      </c>
      <c r="I35" s="2">
        <f t="shared" si="33"/>
        <v>124645.49166445051</v>
      </c>
      <c r="J35" s="2">
        <f t="shared" si="21"/>
        <v>-45762.245278850824</v>
      </c>
      <c r="K35" s="6">
        <f t="shared" si="22"/>
        <v>-0.26854558425405883</v>
      </c>
      <c r="L35" s="7">
        <f t="shared" si="23"/>
        <v>0.73145441574594117</v>
      </c>
      <c r="O35">
        <f t="shared" si="24"/>
        <v>2008</v>
      </c>
      <c r="P35" s="6">
        <f t="shared" si="5"/>
        <v>0.16870211099960039</v>
      </c>
      <c r="Q35" s="6"/>
      <c r="R35" s="6">
        <f t="shared" si="6"/>
        <v>0.1567668419569383</v>
      </c>
      <c r="S35" s="6">
        <f t="shared" si="6"/>
        <v>8.2183534033972924E-2</v>
      </c>
      <c r="T35" s="6"/>
      <c r="U35" s="6">
        <f t="shared" si="5"/>
        <v>0.1641297069253683</v>
      </c>
      <c r="V35" s="57">
        <f t="shared" si="7"/>
        <v>0.42821780608412002</v>
      </c>
      <c r="W35" s="6">
        <f t="shared" si="25"/>
        <v>1</v>
      </c>
      <c r="X35" s="7">
        <f t="shared" si="26"/>
        <v>0.57178219391587992</v>
      </c>
      <c r="Y35" s="7">
        <f t="shared" si="27"/>
        <v>0</v>
      </c>
      <c r="AA35">
        <f t="shared" si="28"/>
        <v>2008</v>
      </c>
      <c r="AB35" s="1" t="b">
        <f t="shared" si="8"/>
        <v>1</v>
      </c>
      <c r="AD35" s="1" t="b">
        <f t="shared" si="9"/>
        <v>1</v>
      </c>
      <c r="AE35" s="1" t="b">
        <f t="shared" si="10"/>
        <v>1</v>
      </c>
      <c r="AG35" s="1" t="b">
        <f t="shared" si="11"/>
        <v>1</v>
      </c>
      <c r="AH35" s="35" t="b">
        <f t="shared" si="12"/>
        <v>0</v>
      </c>
      <c r="AI35" s="1" t="b">
        <f t="shared" si="29"/>
        <v>1</v>
      </c>
      <c r="AK35">
        <f t="shared" si="30"/>
        <v>2008</v>
      </c>
      <c r="AL35" s="36">
        <f>AL$26*$AS35</f>
        <v>24929.098332890106</v>
      </c>
      <c r="AM35" s="2"/>
      <c r="AN35" s="36">
        <f>AN$26*$AS35</f>
        <v>24929.098332890106</v>
      </c>
      <c r="AO35" s="36">
        <f>AO$26*$AS35</f>
        <v>12464.549166445053</v>
      </c>
      <c r="AP35" s="2"/>
      <c r="AQ35" s="36">
        <f>AQ$26*$AS35</f>
        <v>24929.098332890106</v>
      </c>
      <c r="AR35" s="36">
        <f>AR$26*$AS35</f>
        <v>37393.647499335151</v>
      </c>
      <c r="AS35" s="2">
        <f t="shared" ref="AS35" si="46">I35</f>
        <v>124645.49166445051</v>
      </c>
      <c r="AT35" s="2">
        <f t="shared" si="32"/>
        <v>0</v>
      </c>
    </row>
    <row r="36" spans="1:47" x14ac:dyDescent="0.55000000000000004">
      <c r="A36">
        <f t="shared" si="4"/>
        <v>2009</v>
      </c>
      <c r="B36" s="2">
        <f t="shared" si="14"/>
        <v>31532.816481272694</v>
      </c>
      <c r="C36" s="2">
        <f t="shared" si="15"/>
        <v>0</v>
      </c>
      <c r="D36" s="2">
        <f t="shared" si="16"/>
        <v>34955.083100411844</v>
      </c>
      <c r="E36" s="2">
        <f t="shared" si="17"/>
        <v>16966.495034381678</v>
      </c>
      <c r="F36" s="2"/>
      <c r="G36" s="2">
        <f t="shared" si="18"/>
        <v>34084.808277610653</v>
      </c>
      <c r="H36" s="2">
        <f t="shared" si="19"/>
        <v>39611.090796045719</v>
      </c>
      <c r="I36" s="2">
        <f t="shared" si="20"/>
        <v>157150.2936897226</v>
      </c>
      <c r="J36" s="2">
        <f t="shared" si="21"/>
        <v>32504.802025272089</v>
      </c>
      <c r="K36" s="6">
        <f t="shared" si="22"/>
        <v>0.26077800000000012</v>
      </c>
      <c r="L36" s="7">
        <f t="shared" si="23"/>
        <v>1.2607780000000002</v>
      </c>
      <c r="O36">
        <f t="shared" si="24"/>
        <v>2009</v>
      </c>
      <c r="P36" s="6">
        <f t="shared" si="5"/>
        <v>0.20065388196811809</v>
      </c>
      <c r="Q36" s="6"/>
      <c r="R36" s="6">
        <f t="shared" si="6"/>
        <v>0.22243091170689841</v>
      </c>
      <c r="S36" s="6">
        <f t="shared" si="6"/>
        <v>0.10796349555591865</v>
      </c>
      <c r="T36" s="6"/>
      <c r="U36" s="6">
        <f t="shared" si="5"/>
        <v>0.21689306126851832</v>
      </c>
      <c r="V36" s="6">
        <f t="shared" si="7"/>
        <v>0.25205864950054641</v>
      </c>
      <c r="W36" s="6">
        <f t="shared" si="25"/>
        <v>0.99999999999999978</v>
      </c>
      <c r="X36" s="7">
        <f t="shared" si="26"/>
        <v>0.74794135049945343</v>
      </c>
      <c r="Y36" s="7">
        <f t="shared" si="27"/>
        <v>0</v>
      </c>
      <c r="AA36">
        <f t="shared" si="28"/>
        <v>2009</v>
      </c>
      <c r="AB36" s="1" t="b">
        <f t="shared" si="8"/>
        <v>1</v>
      </c>
      <c r="AD36" s="1" t="b">
        <f t="shared" si="9"/>
        <v>1</v>
      </c>
      <c r="AE36" s="1" t="b">
        <f t="shared" si="10"/>
        <v>1</v>
      </c>
      <c r="AG36" s="1" t="b">
        <f t="shared" si="11"/>
        <v>1</v>
      </c>
      <c r="AH36" s="1" t="b">
        <f t="shared" si="12"/>
        <v>1</v>
      </c>
      <c r="AI36" s="1" t="b">
        <f t="shared" si="29"/>
        <v>1</v>
      </c>
      <c r="AK36">
        <f t="shared" si="30"/>
        <v>2009</v>
      </c>
      <c r="AL36" s="2">
        <f t="shared" si="39"/>
        <v>31532.816481272694</v>
      </c>
      <c r="AM36" s="2"/>
      <c r="AN36" s="2">
        <f t="shared" si="40"/>
        <v>34955.083100411844</v>
      </c>
      <c r="AO36" s="2">
        <f t="shared" si="41"/>
        <v>16966.495034381678</v>
      </c>
      <c r="AP36" s="2"/>
      <c r="AQ36" s="2">
        <f t="shared" si="42"/>
        <v>34084.808277610653</v>
      </c>
      <c r="AR36" s="2">
        <f t="shared" si="43"/>
        <v>39611.090796045719</v>
      </c>
      <c r="AS36" s="2">
        <f t="shared" si="44"/>
        <v>157150.2936897226</v>
      </c>
      <c r="AT36" s="2">
        <f t="shared" si="32"/>
        <v>0</v>
      </c>
    </row>
    <row r="37" spans="1:47" x14ac:dyDescent="0.55000000000000004">
      <c r="A37">
        <f t="shared" si="4"/>
        <v>2010</v>
      </c>
      <c r="B37" s="2">
        <f t="shared" si="14"/>
        <v>36234.359418630454</v>
      </c>
      <c r="C37" s="2">
        <f t="shared" si="15"/>
        <v>0</v>
      </c>
      <c r="D37" s="2">
        <f t="shared" si="16"/>
        <v>43854.647257776698</v>
      </c>
      <c r="E37" s="2">
        <f t="shared" si="17"/>
        <v>21669.60745791228</v>
      </c>
      <c r="F37" s="2"/>
      <c r="G37" s="2">
        <f t="shared" si="18"/>
        <v>37875.038958080957</v>
      </c>
      <c r="H37" s="2">
        <f t="shared" si="19"/>
        <v>42154.122825151855</v>
      </c>
      <c r="I37" s="2">
        <f t="shared" si="20"/>
        <v>181787.77591755227</v>
      </c>
      <c r="J37" s="2">
        <f t="shared" si="21"/>
        <v>24637.482227829663</v>
      </c>
      <c r="K37" s="6">
        <f t="shared" si="22"/>
        <v>0.15677655860111778</v>
      </c>
      <c r="L37" s="7">
        <f t="shared" si="23"/>
        <v>1.1567765586011178</v>
      </c>
      <c r="O37">
        <f t="shared" si="24"/>
        <v>2010</v>
      </c>
      <c r="P37" s="56">
        <f t="shared" si="5"/>
        <v>0.19932230996139216</v>
      </c>
      <c r="Q37" s="6"/>
      <c r="R37" s="6">
        <f t="shared" si="6"/>
        <v>0.24124090322589384</v>
      </c>
      <c r="S37" s="6">
        <f t="shared" si="6"/>
        <v>0.11920277559113919</v>
      </c>
      <c r="T37" s="7"/>
      <c r="U37" s="6">
        <f t="shared" si="5"/>
        <v>0.20834755674253225</v>
      </c>
      <c r="V37" s="6">
        <f t="shared" si="7"/>
        <v>0.23188645447904246</v>
      </c>
      <c r="W37" s="6">
        <f t="shared" si="25"/>
        <v>0.99999999999999989</v>
      </c>
      <c r="X37" s="7">
        <f t="shared" si="26"/>
        <v>0.76811354552095745</v>
      </c>
      <c r="Y37" s="7">
        <f t="shared" si="27"/>
        <v>0</v>
      </c>
      <c r="AA37">
        <f t="shared" si="28"/>
        <v>2010</v>
      </c>
      <c r="AB37" s="1" t="b">
        <f t="shared" si="8"/>
        <v>1</v>
      </c>
      <c r="AD37" s="1" t="b">
        <f t="shared" si="9"/>
        <v>1</v>
      </c>
      <c r="AE37" s="1" t="b">
        <f t="shared" si="10"/>
        <v>1</v>
      </c>
      <c r="AG37" s="1" t="b">
        <f t="shared" si="11"/>
        <v>1</v>
      </c>
      <c r="AH37" s="35" t="b">
        <f t="shared" si="12"/>
        <v>0</v>
      </c>
      <c r="AI37" s="1" t="b">
        <f t="shared" si="29"/>
        <v>1</v>
      </c>
      <c r="AK37">
        <f t="shared" si="30"/>
        <v>2010</v>
      </c>
      <c r="AL37" s="36">
        <f>AL$26*$AS37</f>
        <v>36357.555183510456</v>
      </c>
      <c r="AM37" s="2"/>
      <c r="AN37" s="36">
        <f>AN$26*$AS37</f>
        <v>36357.555183510456</v>
      </c>
      <c r="AO37" s="36">
        <f>AO$26*$AS37</f>
        <v>18178.777591755228</v>
      </c>
      <c r="AP37" s="2"/>
      <c r="AQ37" s="36">
        <f>AQ$26*$AS37</f>
        <v>36357.555183510456</v>
      </c>
      <c r="AR37" s="36">
        <f>AR$26*$AS37</f>
        <v>54536.332775265677</v>
      </c>
      <c r="AS37" s="2">
        <f t="shared" si="44"/>
        <v>181787.77591755227</v>
      </c>
      <c r="AT37" s="2">
        <f t="shared" si="32"/>
        <v>0</v>
      </c>
    </row>
    <row r="38" spans="1:47" x14ac:dyDescent="0.55000000000000004">
      <c r="A38">
        <f t="shared" si="4"/>
        <v>2011</v>
      </c>
      <c r="B38" s="2">
        <f t="shared" si="14"/>
        <v>37073.799020625615</v>
      </c>
      <c r="C38" s="2">
        <f t="shared" si="15"/>
        <v>0</v>
      </c>
      <c r="D38" s="2">
        <f t="shared" si="16"/>
        <v>35590.410769138383</v>
      </c>
      <c r="E38" s="2">
        <f t="shared" si="17"/>
        <v>17669.77181918608</v>
      </c>
      <c r="F38" s="2"/>
      <c r="G38" s="2">
        <f t="shared" si="18"/>
        <v>31063.895148791336</v>
      </c>
      <c r="H38" s="2">
        <f t="shared" si="19"/>
        <v>58659.279533075765</v>
      </c>
      <c r="I38" s="2">
        <f t="shared" si="20"/>
        <v>180057.15629081719</v>
      </c>
      <c r="J38" s="2">
        <f t="shared" si="21"/>
        <v>-1730.6196267350751</v>
      </c>
      <c r="K38" s="6">
        <f t="shared" si="22"/>
        <v>-9.5199999999998758E-3</v>
      </c>
      <c r="L38" s="7">
        <f t="shared" si="23"/>
        <v>0.99048000000000014</v>
      </c>
      <c r="O38">
        <f t="shared" si="24"/>
        <v>2011</v>
      </c>
      <c r="P38" s="6">
        <f t="shared" si="5"/>
        <v>0.20590016961473226</v>
      </c>
      <c r="Q38" s="7"/>
      <c r="R38" s="6">
        <f t="shared" si="5"/>
        <v>0.19766173976253934</v>
      </c>
      <c r="S38" s="6">
        <f t="shared" si="5"/>
        <v>9.8134237945238664E-2</v>
      </c>
      <c r="T38" s="7"/>
      <c r="U38" s="6">
        <f t="shared" si="5"/>
        <v>0.17252241337533317</v>
      </c>
      <c r="V38" s="6">
        <f t="shared" si="7"/>
        <v>0.32578143930215647</v>
      </c>
      <c r="W38" s="6">
        <f t="shared" si="25"/>
        <v>0.99999999999999978</v>
      </c>
      <c r="X38" s="7">
        <f t="shared" si="26"/>
        <v>0.67421856069784336</v>
      </c>
      <c r="Y38" s="7">
        <f t="shared" si="27"/>
        <v>0</v>
      </c>
      <c r="AA38">
        <f t="shared" si="28"/>
        <v>2011</v>
      </c>
      <c r="AB38" s="1" t="b">
        <f t="shared" ref="AB38:AB39" si="47">AND((B38/$I38)&gt;0.15,(B38/$I38)&lt;0.25)</f>
        <v>1</v>
      </c>
      <c r="AD38" s="1" t="b">
        <f>AND((D38/$I38)&gt;0.15,(D38/$I38)&lt;0.25)</f>
        <v>1</v>
      </c>
      <c r="AE38" s="1" t="b">
        <f>AND((E38/$I38)&gt;0.05,(E38/$I38)&lt;0.15)</f>
        <v>1</v>
      </c>
      <c r="AG38" s="1" t="b">
        <f t="shared" ref="AG38:AG39" si="48">AND((G38/$I38)&gt;0.15,(G38/$I38)&lt;0.25)</f>
        <v>1</v>
      </c>
      <c r="AH38" s="1" t="b">
        <f t="shared" ref="AH38:AH39" si="49">AND((H38/$I38)&gt;0.25,(H38/$I38)&lt;0.35)</f>
        <v>1</v>
      </c>
      <c r="AI38" s="1" t="b">
        <f t="shared" si="29"/>
        <v>1</v>
      </c>
      <c r="AK38">
        <f t="shared" si="30"/>
        <v>2011</v>
      </c>
      <c r="AL38" s="2">
        <f t="shared" si="39"/>
        <v>37073.799020625615</v>
      </c>
      <c r="AM38" s="2"/>
      <c r="AN38" s="2">
        <f t="shared" si="40"/>
        <v>35590.410769138383</v>
      </c>
      <c r="AO38" s="2">
        <f t="shared" si="41"/>
        <v>17669.77181918608</v>
      </c>
      <c r="AP38" s="2"/>
      <c r="AQ38" s="2">
        <f t="shared" si="42"/>
        <v>31063.895148791336</v>
      </c>
      <c r="AR38" s="2">
        <f t="shared" si="43"/>
        <v>58659.279533075765</v>
      </c>
      <c r="AS38" s="2">
        <f t="shared" si="44"/>
        <v>180057.15629081719</v>
      </c>
      <c r="AT38" s="2">
        <f t="shared" si="32"/>
        <v>0</v>
      </c>
    </row>
    <row r="39" spans="1:47" x14ac:dyDescent="0.55000000000000004">
      <c r="A39">
        <f t="shared" si="4"/>
        <v>2012</v>
      </c>
      <c r="B39" s="2">
        <f t="shared" si="14"/>
        <v>42938.874025688579</v>
      </c>
      <c r="C39" s="2">
        <f t="shared" si="15"/>
        <v>0</v>
      </c>
      <c r="D39" s="2">
        <f t="shared" si="16"/>
        <v>41213.695670662244</v>
      </c>
      <c r="E39" s="2">
        <f t="shared" si="17"/>
        <v>20857.398655367251</v>
      </c>
      <c r="F39" s="2"/>
      <c r="G39" s="2">
        <f t="shared" si="18"/>
        <v>36698.885728782087</v>
      </c>
      <c r="H39" s="2">
        <f t="shared" si="19"/>
        <v>61034.980354165331</v>
      </c>
      <c r="I39" s="2">
        <f t="shared" si="20"/>
        <v>202743.83443466548</v>
      </c>
      <c r="J39" s="2">
        <f t="shared" si="21"/>
        <v>22686.678143848287</v>
      </c>
      <c r="K39" s="6">
        <f t="shared" si="22"/>
        <v>0.12599709231887549</v>
      </c>
      <c r="L39" s="7">
        <f t="shared" si="23"/>
        <v>1.1259970923188756</v>
      </c>
      <c r="O39">
        <f t="shared" si="24"/>
        <v>2012</v>
      </c>
      <c r="P39" s="6">
        <f t="shared" si="5"/>
        <v>0.21178880307467846</v>
      </c>
      <c r="Q39" s="7"/>
      <c r="R39" s="6">
        <f t="shared" ref="R39" si="50">D39/$I39</f>
        <v>0.20327964983785202</v>
      </c>
      <c r="S39" s="6">
        <f t="shared" ref="S39" si="51">E39/$I39</f>
        <v>0.10287562486684931</v>
      </c>
      <c r="T39" s="7"/>
      <c r="U39" s="6">
        <f t="shared" si="5"/>
        <v>0.1810111061138501</v>
      </c>
      <c r="V39" s="6">
        <f t="shared" si="7"/>
        <v>0.3010448161067702</v>
      </c>
      <c r="W39" s="6">
        <f t="shared" si="25"/>
        <v>1</v>
      </c>
      <c r="X39" s="7">
        <f t="shared" si="26"/>
        <v>0.69895518389322986</v>
      </c>
      <c r="Y39" s="7">
        <f t="shared" si="27"/>
        <v>0</v>
      </c>
      <c r="AA39">
        <f t="shared" si="28"/>
        <v>2012</v>
      </c>
      <c r="AB39" s="1" t="b">
        <f t="shared" si="47"/>
        <v>1</v>
      </c>
      <c r="AD39" s="1" t="b">
        <f t="shared" ref="AD39" si="52">AND((D39/$I39)&gt;0.15,(D39/$I39)&lt;0.25)</f>
        <v>1</v>
      </c>
      <c r="AE39" s="1" t="b">
        <f t="shared" ref="AE39" si="53">AND((E39/$I39)&gt;0.05,(E39/$I39)&lt;0.15)</f>
        <v>1</v>
      </c>
      <c r="AG39" s="1" t="b">
        <f t="shared" si="48"/>
        <v>1</v>
      </c>
      <c r="AH39" s="1" t="b">
        <f t="shared" si="49"/>
        <v>1</v>
      </c>
      <c r="AI39" s="1" t="b">
        <f t="shared" si="29"/>
        <v>1</v>
      </c>
      <c r="AK39">
        <f t="shared" si="30"/>
        <v>2012</v>
      </c>
      <c r="AL39" s="2">
        <f t="shared" si="39"/>
        <v>42938.874025688579</v>
      </c>
      <c r="AM39" s="2"/>
      <c r="AN39" s="2">
        <f t="shared" si="40"/>
        <v>41213.695670662244</v>
      </c>
      <c r="AO39" s="2">
        <f t="shared" si="41"/>
        <v>20857.398655367251</v>
      </c>
      <c r="AP39" s="2"/>
      <c r="AQ39" s="2">
        <f t="shared" si="42"/>
        <v>36698.885728782087</v>
      </c>
      <c r="AR39" s="2">
        <f t="shared" si="43"/>
        <v>61034.980354165331</v>
      </c>
      <c r="AS39" s="2">
        <f t="shared" si="44"/>
        <v>202743.83443466548</v>
      </c>
      <c r="AT39" s="2">
        <f t="shared" si="32"/>
        <v>0</v>
      </c>
    </row>
    <row r="40" spans="1:47" x14ac:dyDescent="0.55000000000000004">
      <c r="A40">
        <f t="shared" si="4"/>
        <v>2013</v>
      </c>
      <c r="B40" s="2">
        <f t="shared" ref="B40:E40" si="54">AL39*(1+(B17/100))</f>
        <v>56756.60368715517</v>
      </c>
      <c r="C40" s="2">
        <f t="shared" si="54"/>
        <v>0</v>
      </c>
      <c r="D40" s="2">
        <f t="shared" si="54"/>
        <v>55638.489155394032</v>
      </c>
      <c r="E40" s="2">
        <f t="shared" si="54"/>
        <v>28703.952029516407</v>
      </c>
      <c r="F40" s="2"/>
      <c r="G40" s="2">
        <f t="shared" ref="G40:H40" si="55">AQ39*(1+(G17/100))</f>
        <v>42218.398142390906</v>
      </c>
      <c r="H40" s="2">
        <f t="shared" si="55"/>
        <v>59655.5897981612</v>
      </c>
      <c r="I40" s="2">
        <f t="shared" ref="I40:I41" si="56">SUM(B40:H40)</f>
        <v>242973.03281261772</v>
      </c>
      <c r="J40" s="2">
        <f t="shared" ref="J40:J41" si="57">I40-I39</f>
        <v>40229.198377952242</v>
      </c>
      <c r="K40" s="6">
        <f t="shared" ref="K40:K41" si="58">(J40/I39)</f>
        <v>0.19842378186309861</v>
      </c>
      <c r="L40" s="7">
        <f t="shared" ref="L40:L41" si="59">K40+1</f>
        <v>1.1984237818630987</v>
      </c>
      <c r="O40">
        <f t="shared" ref="O40:O41" si="60">A40</f>
        <v>2013</v>
      </c>
      <c r="P40" s="6">
        <f t="shared" ref="P40:P41" si="61">B40/$I40</f>
        <v>0.23359219346340468</v>
      </c>
      <c r="Q40" s="7"/>
      <c r="R40" s="6">
        <f t="shared" ref="R40:R41" si="62">D40/$I40</f>
        <v>0.22899038840373193</v>
      </c>
      <c r="S40" s="6">
        <f t="shared" ref="S40:S41" si="63">E40/$I40</f>
        <v>0.11813636969191174</v>
      </c>
      <c r="T40" s="7"/>
      <c r="U40" s="6">
        <f t="shared" ref="U40:U41" si="64">G40/$I40</f>
        <v>0.17375754689183961</v>
      </c>
      <c r="V40" s="6">
        <f t="shared" ref="V40:V41" si="65">H40/$I40</f>
        <v>0.24552350154911204</v>
      </c>
      <c r="W40" s="6">
        <f t="shared" ref="W40:W41" si="66">SUM(P40:V40)</f>
        <v>1</v>
      </c>
      <c r="X40" s="7">
        <f t="shared" ref="X40:X41" si="67">SUM(P40:U40)</f>
        <v>0.75447649845088804</v>
      </c>
      <c r="Y40" s="7">
        <f t="shared" ref="Y40:Y41" si="68">W40-(X40+V40)</f>
        <v>0</v>
      </c>
      <c r="AA40">
        <f t="shared" ref="AA40:AA41" si="69">O40</f>
        <v>2013</v>
      </c>
      <c r="AB40" s="1" t="b">
        <f t="shared" ref="AB40:AB41" si="70">AND((B40/$I40)&gt;0.15,(B40/$I40)&lt;0.25)</f>
        <v>1</v>
      </c>
      <c r="AD40" s="1" t="b">
        <f t="shared" ref="AD40:AD41" si="71">AND((D40/$I40)&gt;0.15,(D40/$I40)&lt;0.25)</f>
        <v>1</v>
      </c>
      <c r="AE40" s="1" t="b">
        <f t="shared" ref="AE40:AE41" si="72">AND((E40/$I40)&gt;0.05,(E40/$I40)&lt;0.15)</f>
        <v>1</v>
      </c>
      <c r="AG40" s="1" t="b">
        <f t="shared" ref="AG40:AG41" si="73">AND((G40/$I40)&gt;0.15,(G40/$I40)&lt;0.25)</f>
        <v>1</v>
      </c>
      <c r="AH40" s="35" t="b">
        <f t="shared" ref="AH40:AH41" si="74">AND((H40/$I40)&gt;0.25,(H40/$I40)&lt;0.35)</f>
        <v>0</v>
      </c>
      <c r="AI40" s="1" t="b">
        <f t="shared" ref="AI40:AI41" si="75">AND((I40/$I40)&gt;0.999,(I40/$I40)&lt;1.01)</f>
        <v>1</v>
      </c>
      <c r="AK40">
        <f t="shared" ref="AK40" si="76">A40</f>
        <v>2013</v>
      </c>
      <c r="AL40" s="36">
        <f>AL$26*$AS40</f>
        <v>48594.60656252355</v>
      </c>
      <c r="AM40" s="2"/>
      <c r="AN40" s="36">
        <f>AN$26*$AS40</f>
        <v>48594.60656252355</v>
      </c>
      <c r="AO40" s="36">
        <f>AO$26*$AS40</f>
        <v>24297.303281261775</v>
      </c>
      <c r="AP40" s="2"/>
      <c r="AQ40" s="36">
        <f>AQ$26*$AS40</f>
        <v>48594.60656252355</v>
      </c>
      <c r="AR40" s="36">
        <f>AR$26*$AS40</f>
        <v>72891.90984378531</v>
      </c>
      <c r="AS40" s="2">
        <f t="shared" ref="AS40:AS41" si="77">I40</f>
        <v>242973.03281261772</v>
      </c>
      <c r="AT40" s="2">
        <f t="shared" ref="AT40:AT41" si="78">(SUM(AL40:AR40))-AS40</f>
        <v>0</v>
      </c>
    </row>
    <row r="41" spans="1:47" x14ac:dyDescent="0.55000000000000004">
      <c r="A41">
        <f t="shared" si="4"/>
        <v>2014</v>
      </c>
      <c r="B41" s="2">
        <f t="shared" ref="B41:E41" si="79">AL40*(1+(B18/100))</f>
        <v>55159.737909120478</v>
      </c>
      <c r="C41" s="2">
        <f t="shared" si="79"/>
        <v>0</v>
      </c>
      <c r="D41" s="2">
        <f t="shared" si="79"/>
        <v>55203.473055026756</v>
      </c>
      <c r="E41" s="2">
        <f t="shared" si="79"/>
        <v>26088.014533090769</v>
      </c>
      <c r="F41" s="2"/>
      <c r="G41" s="2">
        <f t="shared" ref="G41:H41" si="80">AQ40*(1+(G18/100))</f>
        <v>46534.195244272552</v>
      </c>
      <c r="H41" s="2">
        <f t="shared" si="80"/>
        <v>77090.48385078735</v>
      </c>
      <c r="I41" s="2">
        <f t="shared" si="56"/>
        <v>260075.90459229791</v>
      </c>
      <c r="J41" s="2">
        <f t="shared" si="57"/>
        <v>17102.871779680194</v>
      </c>
      <c r="K41" s="6">
        <f t="shared" si="58"/>
        <v>7.0390000000000133E-2</v>
      </c>
      <c r="L41" s="7">
        <f t="shared" si="59"/>
        <v>1.0703900000000002</v>
      </c>
      <c r="O41">
        <f t="shared" si="60"/>
        <v>2014</v>
      </c>
      <c r="P41" s="6">
        <f t="shared" si="61"/>
        <v>0.21209092013191452</v>
      </c>
      <c r="Q41" s="7"/>
      <c r="R41" s="6">
        <f t="shared" si="62"/>
        <v>0.21225908313792172</v>
      </c>
      <c r="S41" s="6">
        <f t="shared" si="63"/>
        <v>0.10030923308326872</v>
      </c>
      <c r="T41" s="7"/>
      <c r="U41" s="6">
        <f t="shared" si="64"/>
        <v>0.17892543839161429</v>
      </c>
      <c r="V41" s="6">
        <f t="shared" si="65"/>
        <v>0.29641532525528075</v>
      </c>
      <c r="W41" s="6">
        <f t="shared" si="66"/>
        <v>1</v>
      </c>
      <c r="X41" s="7">
        <f t="shared" si="67"/>
        <v>0.7035846747447192</v>
      </c>
      <c r="Y41" s="7">
        <f t="shared" si="68"/>
        <v>0</v>
      </c>
      <c r="AA41">
        <f t="shared" si="69"/>
        <v>2014</v>
      </c>
      <c r="AB41" s="1" t="b">
        <f t="shared" si="70"/>
        <v>1</v>
      </c>
      <c r="AD41" s="1" t="b">
        <f t="shared" si="71"/>
        <v>1</v>
      </c>
      <c r="AE41" s="1" t="b">
        <f t="shared" si="72"/>
        <v>1</v>
      </c>
      <c r="AG41" s="1" t="b">
        <f t="shared" si="73"/>
        <v>1</v>
      </c>
      <c r="AH41" s="1" t="b">
        <f t="shared" si="74"/>
        <v>1</v>
      </c>
      <c r="AI41" s="1" t="b">
        <f t="shared" si="75"/>
        <v>1</v>
      </c>
      <c r="AK41">
        <f t="shared" ref="AK41" si="81">A41</f>
        <v>2014</v>
      </c>
      <c r="AL41" s="2">
        <f t="shared" ref="AL41" si="82">B41</f>
        <v>55159.737909120478</v>
      </c>
      <c r="AM41" s="2"/>
      <c r="AN41" s="2">
        <f t="shared" ref="AN41" si="83">D41</f>
        <v>55203.473055026756</v>
      </c>
      <c r="AO41" s="2">
        <f t="shared" ref="AO41" si="84">E41</f>
        <v>26088.014533090769</v>
      </c>
      <c r="AP41" s="2"/>
      <c r="AQ41" s="2">
        <f t="shared" ref="AQ41" si="85">G41</f>
        <v>46534.195244272552</v>
      </c>
      <c r="AR41" s="2">
        <f t="shared" ref="AR41" si="86">H41</f>
        <v>77090.48385078735</v>
      </c>
      <c r="AS41" s="2">
        <f t="shared" si="77"/>
        <v>260075.90459229791</v>
      </c>
      <c r="AT41" s="2">
        <f t="shared" si="78"/>
        <v>0</v>
      </c>
      <c r="AU41" s="59"/>
    </row>
    <row r="42" spans="1:47" x14ac:dyDescent="0.55000000000000004">
      <c r="A42">
        <f t="shared" ref="A42:A43" si="87">A19</f>
        <v>2015</v>
      </c>
      <c r="B42" s="2">
        <f t="shared" ref="B42:B43" si="88">AL41*(1+(B19/100))</f>
        <v>55849.23463298448</v>
      </c>
      <c r="C42" s="2">
        <f t="shared" ref="C42:C43" si="89">AM41*(1+(C19/100))</f>
        <v>0</v>
      </c>
      <c r="D42" s="2">
        <f t="shared" ref="D42:D43" si="90">AN41*(1+(D19/100))</f>
        <v>54397.502348423368</v>
      </c>
      <c r="E42" s="2">
        <f t="shared" ref="E42:E43" si="91">AO41*(1+(E19/100))</f>
        <v>25101.887583739936</v>
      </c>
      <c r="F42" s="2"/>
      <c r="G42" s="2">
        <f t="shared" ref="G42:G43" si="92">AQ41*(1+(G19/100))</f>
        <v>44500.650912097844</v>
      </c>
      <c r="H42" s="2">
        <f t="shared" ref="H42:H43" si="93">AR41*(1+(H19/100))</f>
        <v>77321.755302339705</v>
      </c>
      <c r="I42" s="2">
        <f t="shared" ref="I42:I43" si="94">SUM(B42:H42)</f>
        <v>257171.03077958533</v>
      </c>
      <c r="J42" s="2">
        <f t="shared" ref="J42:J43" si="95">I42-I41</f>
        <v>-2904.8738127125835</v>
      </c>
      <c r="K42" s="6">
        <f t="shared" ref="K42:K43" si="96">(J42/I41)</f>
        <v>-1.1169330804660059E-2</v>
      </c>
      <c r="L42" s="7">
        <f t="shared" ref="L42:L43" si="97">K42+1</f>
        <v>0.98883066919533991</v>
      </c>
      <c r="O42">
        <f t="shared" ref="O42:O43" si="98">A42</f>
        <v>2015</v>
      </c>
      <c r="P42" s="6">
        <f t="shared" ref="P42:P43" si="99">B42/$I42</f>
        <v>0.21716767422708438</v>
      </c>
      <c r="Q42" s="7"/>
      <c r="R42" s="6">
        <f t="shared" ref="R42:R43" si="100">D42/$I42</f>
        <v>0.21152266716637327</v>
      </c>
      <c r="S42" s="6">
        <f t="shared" ref="S42:S43" si="101">E42/$I42</f>
        <v>9.7607757404270454E-2</v>
      </c>
      <c r="T42" s="7"/>
      <c r="U42" s="6">
        <f t="shared" ref="U42:U43" si="102">G42/$I42</f>
        <v>0.1730391279966452</v>
      </c>
      <c r="V42" s="6">
        <f t="shared" ref="V42:V43" si="103">H42/$I42</f>
        <v>0.30066277320562668</v>
      </c>
      <c r="W42" s="6">
        <f t="shared" ref="W42:W43" si="104">SUM(P42:V42)</f>
        <v>1</v>
      </c>
      <c r="X42" s="7">
        <f t="shared" ref="X42:X43" si="105">SUM(P42:U42)</f>
        <v>0.69933722679437327</v>
      </c>
      <c r="Y42" s="7">
        <f t="shared" ref="Y42:Y43" si="106">W42-(X42+V42)</f>
        <v>0</v>
      </c>
      <c r="AA42">
        <f t="shared" ref="AA42:AA43" si="107">O42</f>
        <v>2015</v>
      </c>
      <c r="AB42" s="1" t="b">
        <f t="shared" ref="AB42:AB43" si="108">AND((B42/$I42)&gt;0.15,(B42/$I42)&lt;0.25)</f>
        <v>1</v>
      </c>
      <c r="AD42" s="1" t="b">
        <f t="shared" ref="AD42:AD43" si="109">AND((D42/$I42)&gt;0.15,(D42/$I42)&lt;0.25)</f>
        <v>1</v>
      </c>
      <c r="AE42" s="1" t="b">
        <f t="shared" ref="AE42:AE43" si="110">AND((E42/$I42)&gt;0.05,(E42/$I42)&lt;0.15)</f>
        <v>1</v>
      </c>
      <c r="AG42" s="1" t="b">
        <f t="shared" ref="AG42:AG43" si="111">AND((G42/$I42)&gt;0.15,(G42/$I42)&lt;0.25)</f>
        <v>1</v>
      </c>
      <c r="AH42" s="1" t="b">
        <f t="shared" ref="AH42:AH43" si="112">AND((H42/$I42)&gt;0.25,(H42/$I42)&lt;0.35)</f>
        <v>1</v>
      </c>
      <c r="AI42" s="1" t="b">
        <f t="shared" ref="AI42:AI43" si="113">AND((I42/$I42)&gt;0.999,(I42/$I42)&lt;1.01)</f>
        <v>1</v>
      </c>
      <c r="AK42">
        <f t="shared" ref="AK42:AK43" si="114">A42</f>
        <v>2015</v>
      </c>
      <c r="AL42" s="2">
        <f t="shared" ref="AL42:AL43" si="115">B42</f>
        <v>55849.23463298448</v>
      </c>
      <c r="AM42" s="2"/>
      <c r="AN42" s="2">
        <f t="shared" ref="AN42:AN43" si="116">D42</f>
        <v>54397.502348423368</v>
      </c>
      <c r="AO42" s="2">
        <f t="shared" ref="AO42:AO43" si="117">E42</f>
        <v>25101.887583739936</v>
      </c>
      <c r="AP42" s="2"/>
      <c r="AQ42" s="2">
        <f t="shared" ref="AQ42:AQ43" si="118">G42</f>
        <v>44500.650912097844</v>
      </c>
      <c r="AR42" s="2">
        <f t="shared" ref="AR42:AR43" si="119">H42</f>
        <v>77321.755302339705</v>
      </c>
      <c r="AS42" s="2">
        <f t="shared" ref="AS42:AS43" si="120">I42</f>
        <v>257171.03077958533</v>
      </c>
      <c r="AT42" s="2">
        <f t="shared" ref="AT42:AT43" si="121">(SUM(AL42:AR42))-AS42</f>
        <v>0</v>
      </c>
      <c r="AU42" s="59"/>
    </row>
    <row r="43" spans="1:47" x14ac:dyDescent="0.55000000000000004">
      <c r="A43">
        <f t="shared" si="87"/>
        <v>2016</v>
      </c>
      <c r="B43" s="2">
        <f t="shared" si="88"/>
        <v>62450.614166603249</v>
      </c>
      <c r="C43" s="2">
        <f t="shared" si="89"/>
        <v>0</v>
      </c>
      <c r="D43" s="2">
        <f t="shared" si="90"/>
        <v>60419.305858393833</v>
      </c>
      <c r="E43" s="2">
        <f t="shared" si="91"/>
        <v>29662.900557705481</v>
      </c>
      <c r="F43" s="2"/>
      <c r="G43" s="2">
        <f t="shared" si="92"/>
        <v>46569.931179510393</v>
      </c>
      <c r="H43" s="2">
        <f t="shared" si="93"/>
        <v>79254.799184898191</v>
      </c>
      <c r="I43" s="2">
        <f t="shared" si="94"/>
        <v>278357.55094711116</v>
      </c>
      <c r="J43" s="2">
        <f t="shared" si="95"/>
        <v>21186.520167525829</v>
      </c>
      <c r="K43" s="6">
        <f t="shared" si="96"/>
        <v>8.2382996651299542E-2</v>
      </c>
      <c r="L43" s="7">
        <f t="shared" si="97"/>
        <v>1.0823829966512994</v>
      </c>
      <c r="O43">
        <f t="shared" si="98"/>
        <v>2016</v>
      </c>
      <c r="P43" s="6">
        <f t="shared" si="99"/>
        <v>0.22435394317170534</v>
      </c>
      <c r="Q43" s="7"/>
      <c r="R43" s="6">
        <f t="shared" si="100"/>
        <v>0.21705646443869489</v>
      </c>
      <c r="S43" s="6">
        <f t="shared" si="101"/>
        <v>0.10656402334615141</v>
      </c>
      <c r="T43" s="7"/>
      <c r="U43" s="6">
        <f t="shared" si="102"/>
        <v>0.16730256111629188</v>
      </c>
      <c r="V43" s="6">
        <f t="shared" si="103"/>
        <v>0.28472300792715649</v>
      </c>
      <c r="W43" s="6">
        <f t="shared" si="104"/>
        <v>1</v>
      </c>
      <c r="X43" s="7">
        <f t="shared" si="105"/>
        <v>0.71527699207284345</v>
      </c>
      <c r="Y43" s="7">
        <f t="shared" si="106"/>
        <v>0</v>
      </c>
      <c r="AA43">
        <f t="shared" si="107"/>
        <v>2016</v>
      </c>
      <c r="AB43" s="1" t="b">
        <f t="shared" si="108"/>
        <v>1</v>
      </c>
      <c r="AD43" s="1" t="b">
        <f t="shared" si="109"/>
        <v>1</v>
      </c>
      <c r="AE43" s="1" t="b">
        <f t="shared" si="110"/>
        <v>1</v>
      </c>
      <c r="AG43" s="1" t="b">
        <f t="shared" si="111"/>
        <v>1</v>
      </c>
      <c r="AH43" s="1" t="b">
        <f t="shared" si="112"/>
        <v>1</v>
      </c>
      <c r="AI43" s="1" t="b">
        <f t="shared" si="113"/>
        <v>1</v>
      </c>
      <c r="AK43">
        <f t="shared" si="114"/>
        <v>2016</v>
      </c>
      <c r="AL43" s="2">
        <f t="shared" si="115"/>
        <v>62450.614166603249</v>
      </c>
      <c r="AM43" s="2"/>
      <c r="AN43" s="2">
        <f t="shared" si="116"/>
        <v>60419.305858393833</v>
      </c>
      <c r="AO43" s="2">
        <f t="shared" si="117"/>
        <v>29662.900557705481</v>
      </c>
      <c r="AP43" s="2"/>
      <c r="AQ43" s="2">
        <f t="shared" si="118"/>
        <v>46569.931179510393</v>
      </c>
      <c r="AR43" s="2">
        <f t="shared" si="119"/>
        <v>79254.799184898191</v>
      </c>
      <c r="AS43" s="2">
        <f t="shared" si="120"/>
        <v>278357.55094711116</v>
      </c>
      <c r="AT43" s="2">
        <f t="shared" si="121"/>
        <v>0</v>
      </c>
      <c r="AU43" s="59"/>
    </row>
    <row r="44" spans="1:47" x14ac:dyDescent="0.55000000000000004">
      <c r="A44" s="9" t="s">
        <v>41</v>
      </c>
      <c r="B44" s="10">
        <f>AL43</f>
        <v>62450.614166603249</v>
      </c>
      <c r="C44" s="10"/>
      <c r="D44" s="10">
        <f>AN43</f>
        <v>60419.305858393833</v>
      </c>
      <c r="E44" s="10">
        <f>AO43</f>
        <v>29662.900557705481</v>
      </c>
      <c r="F44" s="10"/>
      <c r="G44" s="10">
        <f>AQ43</f>
        <v>46569.931179510393</v>
      </c>
      <c r="H44" s="10">
        <f>AR43</f>
        <v>79254.799184898191</v>
      </c>
      <c r="I44" s="10">
        <f>SUM(B44:H44)</f>
        <v>278357.55094711116</v>
      </c>
      <c r="J44" s="10"/>
      <c r="K44" s="10"/>
    </row>
    <row r="45" spans="1:47" x14ac:dyDescent="0.55000000000000004">
      <c r="A45" s="11" t="s">
        <v>42</v>
      </c>
      <c r="I45" s="6">
        <f>(I44-I26)/I26</f>
        <v>1.7835755094711117</v>
      </c>
      <c r="K45" s="6"/>
    </row>
    <row r="46" spans="1:47" x14ac:dyDescent="0.55000000000000004">
      <c r="A46" s="1" t="s">
        <v>43</v>
      </c>
      <c r="I46" s="26">
        <f>STDEV(L27:L43)</f>
        <v>0.13070006074443011</v>
      </c>
      <c r="K46" s="27"/>
    </row>
    <row r="47" spans="1:47" x14ac:dyDescent="0.55000000000000004">
      <c r="A47" s="1" t="s">
        <v>44</v>
      </c>
      <c r="I47" s="13">
        <f>((1+I45)^(1/16))-1</f>
        <v>6.6074825425942896E-2</v>
      </c>
      <c r="K47" s="27"/>
    </row>
    <row r="48" spans="1:47" x14ac:dyDescent="0.55000000000000004">
      <c r="A48" s="1" t="s">
        <v>45</v>
      </c>
      <c r="I48" s="28">
        <f>J35</f>
        <v>-45762.245278850824</v>
      </c>
    </row>
    <row r="49" spans="1:9" x14ac:dyDescent="0.55000000000000004">
      <c r="A49" s="1" t="s">
        <v>46</v>
      </c>
      <c r="I49" s="29">
        <f>K35</f>
        <v>-0.26854558425405883</v>
      </c>
    </row>
    <row r="50" spans="1:9" x14ac:dyDescent="0.55000000000000004">
      <c r="A50" s="3" t="s">
        <v>47</v>
      </c>
      <c r="I50" s="30">
        <f>I44-AS43</f>
        <v>0</v>
      </c>
    </row>
    <row r="51" spans="1:9" x14ac:dyDescent="0.55000000000000004">
      <c r="A51" s="3" t="s">
        <v>149</v>
      </c>
      <c r="I51" s="30">
        <f>((SUM(J27:J43))-(I44-I26))</f>
        <v>0</v>
      </c>
    </row>
    <row r="52" spans="1:9" x14ac:dyDescent="0.55000000000000004">
      <c r="A52" s="3" t="s">
        <v>156</v>
      </c>
      <c r="I52" s="66">
        <f>COUNTA(I27:I43)</f>
        <v>17</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5"/>
  <sheetViews>
    <sheetView topLeftCell="A22" workbookViewId="0">
      <selection activeCell="H45" sqref="H45"/>
    </sheetView>
  </sheetViews>
  <sheetFormatPr defaultColWidth="8.83984375" defaultRowHeight="14.4" x14ac:dyDescent="0.55000000000000004"/>
  <cols>
    <col min="1" max="1" width="25.41796875" customWidth="1"/>
    <col min="8" max="8" width="9.26171875" bestFit="1" customWidth="1"/>
    <col min="9" max="9" width="11.68359375" customWidth="1"/>
    <col min="10" max="10" width="10" bestFit="1" customWidth="1"/>
    <col min="13" max="13" width="8.83984375" customWidth="1"/>
    <col min="28" max="28" width="10.83984375" bestFit="1" customWidth="1"/>
    <col min="34" max="34" width="9.68359375" customWidth="1"/>
    <col min="35" max="35" width="9.26171875" bestFit="1" customWidth="1"/>
  </cols>
  <sheetData>
    <row r="1" spans="1:8" x14ac:dyDescent="0.55000000000000004">
      <c r="A1" s="18" t="s">
        <v>96</v>
      </c>
    </row>
    <row r="2" spans="1:8" x14ac:dyDescent="0.55000000000000004">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55000000000000004">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55000000000000004">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55000000000000004">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55000000000000004">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55000000000000004">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55000000000000004">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55000000000000004">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55000000000000004">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55000000000000004">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55000000000000004">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55000000000000004">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55000000000000004">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55000000000000004">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55000000000000004">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55000000000000004">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55000000000000004">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36" x14ac:dyDescent="0.55000000000000004">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36" x14ac:dyDescent="0.55000000000000004">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3" spans="1:36" x14ac:dyDescent="0.55000000000000004">
      <c r="A23" s="18" t="s">
        <v>14</v>
      </c>
      <c r="O23" s="18" t="s">
        <v>15</v>
      </c>
      <c r="AA23" s="18" t="s">
        <v>64</v>
      </c>
    </row>
    <row r="24" spans="1:36"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P24" s="4" t="str">
        <f t="shared" ref="P24:V25" si="1">B24</f>
        <v>LC Stocks</v>
      </c>
      <c r="Q24" s="4" t="str">
        <f t="shared" si="1"/>
        <v>Ext Mkt</v>
      </c>
      <c r="R24" s="4" t="str">
        <f t="shared" si="1"/>
        <v>Mcap Stk</v>
      </c>
      <c r="S24" s="4" t="str">
        <f t="shared" si="1"/>
        <v>Small Cap</v>
      </c>
      <c r="T24" s="4" t="str">
        <f t="shared" si="1"/>
        <v>Intl Val</v>
      </c>
      <c r="U24" s="4" t="str">
        <f t="shared" si="1"/>
        <v>Tot Int Stk</v>
      </c>
      <c r="V24" s="4" t="str">
        <f t="shared" si="1"/>
        <v>Bonds</v>
      </c>
      <c r="W24" s="5"/>
      <c r="X24" s="5" t="s">
        <v>6</v>
      </c>
      <c r="Y24" s="3" t="s">
        <v>7</v>
      </c>
      <c r="AB24" s="4" t="str">
        <f t="shared" ref="AB24:AH25" si="2">P24</f>
        <v>LC Stocks</v>
      </c>
      <c r="AC24" s="4" t="str">
        <f t="shared" si="2"/>
        <v>Ext Mkt</v>
      </c>
      <c r="AD24" s="4" t="str">
        <f t="shared" si="2"/>
        <v>Mcap Stk</v>
      </c>
      <c r="AE24" s="4" t="str">
        <f t="shared" si="2"/>
        <v>Small Cap</v>
      </c>
      <c r="AF24" s="4" t="str">
        <f t="shared" si="2"/>
        <v>Intl Val</v>
      </c>
      <c r="AG24" s="4" t="str">
        <f t="shared" si="2"/>
        <v>Tot Int Stk</v>
      </c>
      <c r="AH24" s="4" t="str">
        <f t="shared" si="2"/>
        <v>Bonds</v>
      </c>
      <c r="AI24" s="4"/>
      <c r="AJ24" t="s">
        <v>51</v>
      </c>
    </row>
    <row r="25" spans="1:36"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O25" t="s">
        <v>117</v>
      </c>
      <c r="P25" s="4" t="str">
        <f t="shared" si="1"/>
        <v>VFINX</v>
      </c>
      <c r="Q25" s="4" t="str">
        <f t="shared" si="1"/>
        <v>VEXMX</v>
      </c>
      <c r="R25" s="4" t="str">
        <f t="shared" si="1"/>
        <v>VIMSX</v>
      </c>
      <c r="S25" s="4" t="str">
        <f t="shared" si="1"/>
        <v>NAESX</v>
      </c>
      <c r="T25" s="4" t="str">
        <f t="shared" si="1"/>
        <v>VTRIX</v>
      </c>
      <c r="U25" s="4" t="str">
        <f t="shared" si="1"/>
        <v>VGTSX</v>
      </c>
      <c r="V25" s="4" t="str">
        <f t="shared" si="1"/>
        <v>VBMFX</v>
      </c>
      <c r="W25" s="5" t="s">
        <v>115</v>
      </c>
      <c r="X25" s="5" t="s">
        <v>7</v>
      </c>
      <c r="Y25" s="3" t="s">
        <v>50</v>
      </c>
      <c r="AA25" t="str">
        <f>A25</f>
        <v>Fund</v>
      </c>
      <c r="AB25" s="4" t="str">
        <f t="shared" si="2"/>
        <v>VFINX</v>
      </c>
      <c r="AC25" s="4" t="str">
        <f t="shared" si="2"/>
        <v>VEXMX</v>
      </c>
      <c r="AD25" s="4" t="str">
        <f t="shared" si="2"/>
        <v>VIMSX</v>
      </c>
      <c r="AE25" s="4" t="str">
        <f t="shared" si="2"/>
        <v>NAESX</v>
      </c>
      <c r="AF25" s="4" t="str">
        <f t="shared" si="2"/>
        <v>VTRIX</v>
      </c>
      <c r="AG25" s="4" t="str">
        <f t="shared" si="2"/>
        <v>VGTSX</v>
      </c>
      <c r="AH25" s="4" t="str">
        <f t="shared" si="2"/>
        <v>VBMFX</v>
      </c>
      <c r="AI25" s="4" t="str">
        <f>W25</f>
        <v>Total</v>
      </c>
      <c r="AJ25" t="s">
        <v>50</v>
      </c>
    </row>
    <row r="26" spans="1:36" x14ac:dyDescent="0.55000000000000004">
      <c r="A26" t="s">
        <v>116</v>
      </c>
      <c r="B26" s="2">
        <f>'Non-Rebalanced Portfolio'!B26</f>
        <v>20000</v>
      </c>
      <c r="C26" s="2"/>
      <c r="D26" s="2">
        <f>'Non-Rebalanced Portfolio'!D26</f>
        <v>20000</v>
      </c>
      <c r="E26" s="2">
        <f>'Non-Rebalanced Portfolio'!E26</f>
        <v>10000</v>
      </c>
      <c r="F26" s="2"/>
      <c r="G26" s="2">
        <f>'Non-Rebalanced Portfolio'!G26</f>
        <v>20000</v>
      </c>
      <c r="H26" s="2">
        <f>'Non-Rebalanced Portfolio'!H26</f>
        <v>30000</v>
      </c>
      <c r="I26" s="2">
        <f>SUM(B26:H26)</f>
        <v>100000</v>
      </c>
      <c r="O26" s="19" t="s">
        <v>49</v>
      </c>
      <c r="P26" s="20">
        <f t="shared" ref="P26:P39" si="3">B26/$I26</f>
        <v>0.2</v>
      </c>
      <c r="Q26" s="20"/>
      <c r="R26" s="20">
        <f t="shared" ref="R26:R39" si="4">D26/$I26</f>
        <v>0.2</v>
      </c>
      <c r="S26" s="20">
        <f t="shared" ref="S26:S39" si="5">E26/$I26</f>
        <v>0.1</v>
      </c>
      <c r="T26" s="20"/>
      <c r="U26" s="20">
        <f>G26/$I26</f>
        <v>0.2</v>
      </c>
      <c r="V26" s="20">
        <f>H26/$I26</f>
        <v>0.3</v>
      </c>
      <c r="W26" s="20">
        <f>I26/$I26</f>
        <v>1</v>
      </c>
      <c r="X26" s="22"/>
      <c r="Z26" s="22"/>
      <c r="AA26" t="str">
        <f>A26</f>
        <v>Stating Balance</v>
      </c>
      <c r="AB26" s="2">
        <f>B26</f>
        <v>20000</v>
      </c>
      <c r="AC26" s="2"/>
      <c r="AD26" s="2">
        <f t="shared" ref="AD26:AE28" si="6">D26</f>
        <v>20000</v>
      </c>
      <c r="AE26" s="2">
        <f t="shared" si="6"/>
        <v>10000</v>
      </c>
      <c r="AF26" s="2"/>
      <c r="AG26" s="2">
        <f t="shared" ref="AG26:AH28" si="7">G26</f>
        <v>20000</v>
      </c>
      <c r="AH26" s="2">
        <f t="shared" si="7"/>
        <v>30000</v>
      </c>
      <c r="AI26" s="2">
        <f>SUM(AB26:AH26)</f>
        <v>100000</v>
      </c>
      <c r="AJ26" s="2">
        <f t="shared" ref="AJ26:AJ39" si="8">AI26-I26</f>
        <v>0</v>
      </c>
    </row>
    <row r="27" spans="1:36" x14ac:dyDescent="0.55000000000000004">
      <c r="A27">
        <f t="shared" ref="A27:A41" si="9">A4</f>
        <v>2000</v>
      </c>
      <c r="B27" s="2">
        <f>B26*(1+(B4/100))</f>
        <v>18188</v>
      </c>
      <c r="C27" s="2"/>
      <c r="D27" s="2">
        <f>D26*(1+(D4/100))</f>
        <v>23619.599999999999</v>
      </c>
      <c r="E27" s="2">
        <f>E26*(1+(E4/100))</f>
        <v>9733.5</v>
      </c>
      <c r="F27" s="2"/>
      <c r="G27" s="2">
        <f>G26*(1+(G4/100))</f>
        <v>16877.2</v>
      </c>
      <c r="H27" s="2">
        <f>H26*(1+(H4/100))</f>
        <v>33417</v>
      </c>
      <c r="I27" s="2">
        <f>SUM(B27:H27)</f>
        <v>101835.3</v>
      </c>
      <c r="J27" s="2">
        <f>I27-I26</f>
        <v>1835.3000000000029</v>
      </c>
      <c r="K27" s="6">
        <f>(J27/I26)</f>
        <v>1.8353000000000029E-2</v>
      </c>
      <c r="L27" s="7">
        <f>K27+1</f>
        <v>1.0183530000000001</v>
      </c>
      <c r="O27">
        <f t="shared" ref="O27:O39" si="10">A27</f>
        <v>2000</v>
      </c>
      <c r="P27" s="6">
        <f t="shared" si="3"/>
        <v>0.17860211537649517</v>
      </c>
      <c r="Q27" s="6"/>
      <c r="R27" s="6">
        <f t="shared" si="4"/>
        <v>0.23193921950443508</v>
      </c>
      <c r="S27" s="6">
        <f t="shared" si="5"/>
        <v>9.5580805477079159E-2</v>
      </c>
      <c r="T27" s="6"/>
      <c r="U27" s="6">
        <f t="shared" ref="U27:U39" si="11">G27/$I27</f>
        <v>0.16573035087047419</v>
      </c>
      <c r="V27" s="6">
        <f t="shared" ref="V27:V39" si="12">H27/$I27</f>
        <v>0.32814750877151633</v>
      </c>
      <c r="W27" s="6">
        <f>SUM(P27:V27)</f>
        <v>0.99999999999999989</v>
      </c>
      <c r="X27" s="7">
        <f>SUM(P27:U27)</f>
        <v>0.67185249122848356</v>
      </c>
      <c r="Y27" s="7">
        <f>W27-(X27+V27)</f>
        <v>0</v>
      </c>
      <c r="Z27" s="22"/>
      <c r="AA27">
        <f t="shared" ref="AA27:AA39" si="13">O27</f>
        <v>2000</v>
      </c>
      <c r="AB27" s="2">
        <f>B27</f>
        <v>18188</v>
      </c>
      <c r="AC27" s="2"/>
      <c r="AD27" s="2">
        <f t="shared" si="6"/>
        <v>23619.599999999999</v>
      </c>
      <c r="AE27" s="2">
        <f t="shared" si="6"/>
        <v>9733.5</v>
      </c>
      <c r="AF27" s="2"/>
      <c r="AG27" s="2">
        <f t="shared" si="7"/>
        <v>16877.2</v>
      </c>
      <c r="AH27" s="2">
        <f t="shared" si="7"/>
        <v>33417</v>
      </c>
      <c r="AI27" s="2">
        <f t="shared" ref="AI27:AI39" si="14">SUM(AB27:AH27)</f>
        <v>101835.3</v>
      </c>
      <c r="AJ27" s="2">
        <f t="shared" si="8"/>
        <v>0</v>
      </c>
    </row>
    <row r="28" spans="1:36" x14ac:dyDescent="0.55000000000000004">
      <c r="A28">
        <f t="shared" si="9"/>
        <v>2001</v>
      </c>
      <c r="B28" s="2">
        <f t="shared" ref="B28:B41" si="15">AB27*(1+(B5/100))</f>
        <v>16001.8024</v>
      </c>
      <c r="C28" s="2"/>
      <c r="D28" s="2">
        <f t="shared" ref="D28:D39" si="16">AD27*(1+(D5/100))</f>
        <v>23501.738195999998</v>
      </c>
      <c r="E28" s="2">
        <f t="shared" ref="E28:E39" si="17">AE27*(1+(E5/100))</f>
        <v>10035.238499999999</v>
      </c>
      <c r="F28" s="2"/>
      <c r="G28" s="2">
        <f t="shared" ref="G28:G39" si="18">AG27*(1+(G5/100))</f>
        <v>13475.937884000001</v>
      </c>
      <c r="H28" s="2">
        <f t="shared" ref="H28:H39" si="19">AH27*(1+(H5/100))</f>
        <v>36234.053100000005</v>
      </c>
      <c r="I28" s="2">
        <f t="shared" ref="I28:I39" si="20">SUM(B28:H28)</f>
        <v>99248.770080000002</v>
      </c>
      <c r="J28" s="2">
        <f t="shared" ref="J28:J39" si="21">I28-I27</f>
        <v>-2586.5299200000009</v>
      </c>
      <c r="K28" s="6">
        <f t="shared" ref="K28:K39" si="22">(J28/I27)</f>
        <v>-2.5399148625280241E-2</v>
      </c>
      <c r="L28" s="7">
        <f t="shared" ref="L28:L39" si="23">K28+1</f>
        <v>0.97460085137471975</v>
      </c>
      <c r="O28">
        <f t="shared" si="10"/>
        <v>2001</v>
      </c>
      <c r="P28" s="6">
        <f t="shared" si="3"/>
        <v>0.16122922618690047</v>
      </c>
      <c r="Q28" s="6"/>
      <c r="R28" s="6">
        <f t="shared" si="4"/>
        <v>0.2367962663623569</v>
      </c>
      <c r="S28" s="6">
        <f t="shared" si="5"/>
        <v>0.10111196835901384</v>
      </c>
      <c r="T28" s="6"/>
      <c r="U28" s="6">
        <f t="shared" si="11"/>
        <v>0.13577939427498847</v>
      </c>
      <c r="V28" s="6">
        <f t="shared" si="12"/>
        <v>0.36508314481674031</v>
      </c>
      <c r="W28" s="6">
        <f t="shared" ref="W28:W39" si="24">SUM(P28:V28)</f>
        <v>0.99999999999999989</v>
      </c>
      <c r="X28" s="7">
        <f t="shared" ref="X28:X39" si="25">SUM(P28:U28)</f>
        <v>0.63491685518325958</v>
      </c>
      <c r="Y28" s="7">
        <f t="shared" ref="Y28:Y39" si="26">W28-(X28+V28)</f>
        <v>0</v>
      </c>
      <c r="Z28" s="22"/>
      <c r="AA28">
        <f t="shared" si="13"/>
        <v>2001</v>
      </c>
      <c r="AB28" s="2">
        <f>B28</f>
        <v>16001.8024</v>
      </c>
      <c r="AC28" s="2"/>
      <c r="AD28" s="2">
        <f t="shared" si="6"/>
        <v>23501.738195999998</v>
      </c>
      <c r="AE28" s="2">
        <f t="shared" si="6"/>
        <v>10035.238499999999</v>
      </c>
      <c r="AF28" s="2"/>
      <c r="AG28" s="2">
        <f t="shared" si="7"/>
        <v>13475.937884000001</v>
      </c>
      <c r="AH28" s="2">
        <f t="shared" si="7"/>
        <v>36234.053100000005</v>
      </c>
      <c r="AI28" s="2">
        <f t="shared" si="14"/>
        <v>99248.770080000002</v>
      </c>
      <c r="AJ28" s="2">
        <f t="shared" si="8"/>
        <v>0</v>
      </c>
    </row>
    <row r="29" spans="1:36" x14ac:dyDescent="0.55000000000000004">
      <c r="A29">
        <f t="shared" si="9"/>
        <v>2002</v>
      </c>
      <c r="B29" s="2">
        <f t="shared" si="15"/>
        <v>12457.4031684</v>
      </c>
      <c r="C29" s="2"/>
      <c r="D29" s="2">
        <f t="shared" si="16"/>
        <v>20068.60428032832</v>
      </c>
      <c r="E29" s="2">
        <f t="shared" si="17"/>
        <v>8025.9830475300005</v>
      </c>
      <c r="F29" s="2"/>
      <c r="G29" s="2">
        <f t="shared" si="18"/>
        <v>11443.36217295628</v>
      </c>
      <c r="H29" s="2">
        <f t="shared" si="19"/>
        <v>39226.985886060007</v>
      </c>
      <c r="I29" s="2">
        <f t="shared" si="20"/>
        <v>91222.338555274619</v>
      </c>
      <c r="J29" s="2">
        <f t="shared" si="21"/>
        <v>-8026.4315247253835</v>
      </c>
      <c r="K29" s="6">
        <f t="shared" si="22"/>
        <v>-8.0871848772086904E-2</v>
      </c>
      <c r="L29" s="7">
        <f t="shared" si="23"/>
        <v>0.91912815122791314</v>
      </c>
      <c r="O29">
        <f t="shared" si="10"/>
        <v>2002</v>
      </c>
      <c r="P29" s="6">
        <f t="shared" si="3"/>
        <v>0.13656088372314254</v>
      </c>
      <c r="Q29" s="6"/>
      <c r="R29" s="6">
        <f t="shared" si="4"/>
        <v>0.21999659949704195</v>
      </c>
      <c r="S29" s="6">
        <f t="shared" si="5"/>
        <v>8.7982649586063763E-2</v>
      </c>
      <c r="T29" s="6"/>
      <c r="U29" s="6">
        <f t="shared" si="11"/>
        <v>0.12544473595162625</v>
      </c>
      <c r="V29" s="6">
        <f t="shared" si="12"/>
        <v>0.43001513124212537</v>
      </c>
      <c r="W29" s="6">
        <f t="shared" si="24"/>
        <v>1</v>
      </c>
      <c r="X29" s="7">
        <f t="shared" si="25"/>
        <v>0.56998486875787457</v>
      </c>
      <c r="Y29" s="7">
        <f t="shared" si="26"/>
        <v>0</v>
      </c>
      <c r="Z29" s="22"/>
      <c r="AA29">
        <f t="shared" si="13"/>
        <v>2002</v>
      </c>
      <c r="AB29" s="36">
        <v>0</v>
      </c>
      <c r="AC29" s="36"/>
      <c r="AD29" s="36">
        <v>0</v>
      </c>
      <c r="AE29" s="36">
        <v>0</v>
      </c>
      <c r="AF29" s="36"/>
      <c r="AG29" s="36">
        <v>0</v>
      </c>
      <c r="AH29" s="36">
        <f>I29</f>
        <v>91222.338555274619</v>
      </c>
      <c r="AI29" s="2">
        <f t="shared" si="14"/>
        <v>91222.338555274619</v>
      </c>
      <c r="AJ29" s="2">
        <f t="shared" si="8"/>
        <v>0</v>
      </c>
    </row>
    <row r="30" spans="1:36" x14ac:dyDescent="0.55000000000000004">
      <c r="A30">
        <f t="shared" si="9"/>
        <v>2003</v>
      </c>
      <c r="B30" s="2">
        <f t="shared" si="15"/>
        <v>0</v>
      </c>
      <c r="C30" s="2"/>
      <c r="D30" s="2">
        <f t="shared" si="16"/>
        <v>0</v>
      </c>
      <c r="E30" s="2">
        <f t="shared" si="17"/>
        <v>0</v>
      </c>
      <c r="F30" s="2"/>
      <c r="G30" s="2">
        <f t="shared" si="18"/>
        <v>0</v>
      </c>
      <c r="H30" s="2">
        <f t="shared" si="19"/>
        <v>94843.865395919027</v>
      </c>
      <c r="I30" s="2">
        <f t="shared" si="20"/>
        <v>94843.865395919027</v>
      </c>
      <c r="J30" s="2">
        <f t="shared" si="21"/>
        <v>3621.5268406444084</v>
      </c>
      <c r="K30" s="6">
        <f t="shared" si="22"/>
        <v>3.9700000000000069E-2</v>
      </c>
      <c r="L30" s="7">
        <f t="shared" si="23"/>
        <v>1.0397000000000001</v>
      </c>
      <c r="O30">
        <f t="shared" si="10"/>
        <v>2003</v>
      </c>
      <c r="P30" s="6">
        <f t="shared" si="3"/>
        <v>0</v>
      </c>
      <c r="Q30" s="6"/>
      <c r="R30" s="6">
        <f t="shared" si="4"/>
        <v>0</v>
      </c>
      <c r="S30" s="6">
        <f t="shared" si="5"/>
        <v>0</v>
      </c>
      <c r="T30" s="6"/>
      <c r="U30" s="6">
        <f t="shared" si="11"/>
        <v>0</v>
      </c>
      <c r="V30" s="6">
        <f t="shared" si="12"/>
        <v>1</v>
      </c>
      <c r="W30" s="6">
        <f t="shared" si="24"/>
        <v>1</v>
      </c>
      <c r="X30" s="7">
        <f t="shared" si="25"/>
        <v>0</v>
      </c>
      <c r="Y30" s="7">
        <f t="shared" si="26"/>
        <v>0</v>
      </c>
      <c r="Z30" s="22"/>
      <c r="AA30">
        <f t="shared" si="13"/>
        <v>2003</v>
      </c>
      <c r="AB30" s="36">
        <f>$I30*P$26</f>
        <v>18968.773079183808</v>
      </c>
      <c r="AC30" s="36"/>
      <c r="AD30" s="36">
        <f>$I30*R$26</f>
        <v>18968.773079183808</v>
      </c>
      <c r="AE30" s="36">
        <f>$I30*S$26</f>
        <v>9484.3865395919038</v>
      </c>
      <c r="AF30" s="36"/>
      <c r="AG30" s="36">
        <f>$I30*U$26</f>
        <v>18968.773079183808</v>
      </c>
      <c r="AH30" s="36">
        <f>$I30*V$26</f>
        <v>28453.159618775706</v>
      </c>
      <c r="AI30" s="2">
        <f t="shared" si="14"/>
        <v>94843.865395919041</v>
      </c>
      <c r="AJ30" s="2">
        <f t="shared" si="8"/>
        <v>0</v>
      </c>
    </row>
    <row r="31" spans="1:36" x14ac:dyDescent="0.55000000000000004">
      <c r="A31">
        <f t="shared" si="9"/>
        <v>2004</v>
      </c>
      <c r="B31" s="2">
        <f t="shared" si="15"/>
        <v>21006.019307888146</v>
      </c>
      <c r="C31" s="2"/>
      <c r="D31" s="2">
        <f t="shared" si="16"/>
        <v>22829.487463990088</v>
      </c>
      <c r="E31" s="2">
        <f t="shared" si="17"/>
        <v>11371.494929374505</v>
      </c>
      <c r="F31" s="2"/>
      <c r="G31" s="2">
        <f t="shared" si="18"/>
        <v>22921.296325693336</v>
      </c>
      <c r="H31" s="2">
        <f t="shared" si="19"/>
        <v>29659.573586611794</v>
      </c>
      <c r="I31" s="2">
        <f t="shared" si="20"/>
        <v>107787.87161355787</v>
      </c>
      <c r="J31" s="2">
        <f t="shared" si="21"/>
        <v>12944.006217638846</v>
      </c>
      <c r="K31" s="6">
        <f t="shared" si="22"/>
        <v>0.13647700000000004</v>
      </c>
      <c r="L31" s="7">
        <f t="shared" si="23"/>
        <v>1.136477</v>
      </c>
      <c r="O31">
        <f t="shared" si="10"/>
        <v>2004</v>
      </c>
      <c r="P31" s="6">
        <f t="shared" si="3"/>
        <v>0.19488295847606241</v>
      </c>
      <c r="Q31" s="6"/>
      <c r="R31" s="6">
        <f t="shared" si="4"/>
        <v>0.21180015081695452</v>
      </c>
      <c r="S31" s="6">
        <f t="shared" si="5"/>
        <v>0.1054988354361769</v>
      </c>
      <c r="T31" s="6"/>
      <c r="U31" s="6">
        <f t="shared" si="11"/>
        <v>0.21265190584587282</v>
      </c>
      <c r="V31" s="6">
        <f t="shared" si="12"/>
        <v>0.27516614942493334</v>
      </c>
      <c r="W31" s="6">
        <f t="shared" si="24"/>
        <v>1</v>
      </c>
      <c r="X31" s="7">
        <f t="shared" si="25"/>
        <v>0.72483385057506666</v>
      </c>
      <c r="Y31" s="7">
        <f t="shared" si="26"/>
        <v>0</v>
      </c>
      <c r="Z31" s="22"/>
      <c r="AA31">
        <f t="shared" si="13"/>
        <v>2004</v>
      </c>
      <c r="AB31" s="2">
        <f>B31</f>
        <v>21006.019307888146</v>
      </c>
      <c r="AC31" s="2"/>
      <c r="AD31" s="2">
        <f>D31</f>
        <v>22829.487463990088</v>
      </c>
      <c r="AE31" s="2">
        <f>E31</f>
        <v>11371.494929374505</v>
      </c>
      <c r="AF31" s="2"/>
      <c r="AG31" s="2">
        <f>G31</f>
        <v>22921.296325693336</v>
      </c>
      <c r="AH31" s="2">
        <f>H31</f>
        <v>29659.573586611794</v>
      </c>
      <c r="AI31" s="2">
        <f t="shared" si="14"/>
        <v>107787.87161355787</v>
      </c>
      <c r="AJ31" s="2">
        <f t="shared" si="8"/>
        <v>0</v>
      </c>
    </row>
    <row r="32" spans="1:36" x14ac:dyDescent="0.55000000000000004">
      <c r="A32">
        <f t="shared" si="9"/>
        <v>2005</v>
      </c>
      <c r="B32" s="2">
        <f t="shared" si="15"/>
        <v>22008.006428874411</v>
      </c>
      <c r="C32" s="2"/>
      <c r="D32" s="2">
        <f t="shared" si="16"/>
        <v>26009.863362598549</v>
      </c>
      <c r="E32" s="2">
        <f t="shared" si="17"/>
        <v>12208.778101024351</v>
      </c>
      <c r="F32" s="2"/>
      <c r="G32" s="2">
        <f t="shared" si="18"/>
        <v>26490.371376567047</v>
      </c>
      <c r="H32" s="2">
        <f t="shared" si="19"/>
        <v>30371.403352690479</v>
      </c>
      <c r="I32" s="2">
        <f t="shared" si="20"/>
        <v>117088.42262175484</v>
      </c>
      <c r="J32" s="2">
        <f t="shared" si="21"/>
        <v>9300.5510081969696</v>
      </c>
      <c r="K32" s="6">
        <f t="shared" si="22"/>
        <v>8.6285691228243158E-2</v>
      </c>
      <c r="L32" s="7">
        <f t="shared" si="23"/>
        <v>1.0862856912282433</v>
      </c>
      <c r="O32">
        <f t="shared" si="10"/>
        <v>2005</v>
      </c>
      <c r="P32" s="6">
        <f t="shared" si="3"/>
        <v>0.18796056805692554</v>
      </c>
      <c r="Q32" s="6"/>
      <c r="R32" s="6">
        <f t="shared" si="4"/>
        <v>0.22213864343037071</v>
      </c>
      <c r="S32" s="6">
        <f t="shared" si="5"/>
        <v>0.10426972904455183</v>
      </c>
      <c r="T32" s="6"/>
      <c r="U32" s="6">
        <f t="shared" si="11"/>
        <v>0.2262424480867947</v>
      </c>
      <c r="V32" s="6">
        <f t="shared" si="12"/>
        <v>0.25938861138135721</v>
      </c>
      <c r="W32" s="6">
        <f t="shared" si="24"/>
        <v>1</v>
      </c>
      <c r="X32" s="7">
        <f t="shared" si="25"/>
        <v>0.74061138861864273</v>
      </c>
      <c r="Y32" s="7">
        <f t="shared" si="26"/>
        <v>0</v>
      </c>
      <c r="Z32" s="22"/>
      <c r="AA32">
        <f t="shared" si="13"/>
        <v>2005</v>
      </c>
      <c r="AB32" s="2">
        <f t="shared" ref="AB32:AB34" si="27">B32</f>
        <v>22008.006428874411</v>
      </c>
      <c r="AC32" s="2"/>
      <c r="AD32" s="2">
        <f t="shared" ref="AD32:AD34" si="28">D32</f>
        <v>26009.863362598549</v>
      </c>
      <c r="AE32" s="2">
        <f t="shared" ref="AE32:AE34" si="29">E32</f>
        <v>12208.778101024351</v>
      </c>
      <c r="AF32" s="2"/>
      <c r="AG32" s="2">
        <f t="shared" ref="AG32:AG34" si="30">G32</f>
        <v>26490.371376567047</v>
      </c>
      <c r="AH32" s="2">
        <f t="shared" ref="AH32:AH34" si="31">H32</f>
        <v>30371.403352690479</v>
      </c>
      <c r="AI32" s="2">
        <f t="shared" si="14"/>
        <v>117088.42262175484</v>
      </c>
      <c r="AJ32" s="2">
        <f t="shared" si="8"/>
        <v>0</v>
      </c>
    </row>
    <row r="33" spans="1:36" x14ac:dyDescent="0.55000000000000004">
      <c r="A33">
        <f t="shared" si="9"/>
        <v>2006</v>
      </c>
      <c r="B33" s="2">
        <f t="shared" si="15"/>
        <v>25450.058634350371</v>
      </c>
      <c r="C33" s="2"/>
      <c r="D33" s="2">
        <f t="shared" si="16"/>
        <v>29546.424484011073</v>
      </c>
      <c r="E33" s="2">
        <f t="shared" si="17"/>
        <v>14120.184400520724</v>
      </c>
      <c r="F33" s="2"/>
      <c r="G33" s="2">
        <f t="shared" si="18"/>
        <v>33546.611600143209</v>
      </c>
      <c r="H33" s="2">
        <f t="shared" si="19"/>
        <v>31668.26227585036</v>
      </c>
      <c r="I33" s="2">
        <f t="shared" si="20"/>
        <v>134331.54139487573</v>
      </c>
      <c r="J33" s="2">
        <f t="shared" si="21"/>
        <v>17243.118773120892</v>
      </c>
      <c r="K33" s="6">
        <f t="shared" si="22"/>
        <v>0.14726578757340905</v>
      </c>
      <c r="L33" s="7">
        <f t="shared" si="23"/>
        <v>1.1472657875734091</v>
      </c>
      <c r="O33">
        <f t="shared" si="10"/>
        <v>2006</v>
      </c>
      <c r="P33" s="6">
        <f t="shared" si="3"/>
        <v>0.18945705803775731</v>
      </c>
      <c r="Q33" s="6"/>
      <c r="R33" s="6">
        <f t="shared" si="4"/>
        <v>0.21995150340125677</v>
      </c>
      <c r="S33" s="6">
        <f t="shared" si="5"/>
        <v>0.10511443741283057</v>
      </c>
      <c r="T33" s="6"/>
      <c r="U33" s="6">
        <f t="shared" si="11"/>
        <v>0.24972996849288659</v>
      </c>
      <c r="V33" s="6">
        <f t="shared" si="12"/>
        <v>0.23574703265526878</v>
      </c>
      <c r="W33" s="6">
        <f t="shared" si="24"/>
        <v>0.99999999999999989</v>
      </c>
      <c r="X33" s="7">
        <f t="shared" si="25"/>
        <v>0.76425296734473114</v>
      </c>
      <c r="Y33" s="7">
        <f t="shared" si="26"/>
        <v>0</v>
      </c>
      <c r="Z33" s="22"/>
      <c r="AA33">
        <f t="shared" si="13"/>
        <v>2006</v>
      </c>
      <c r="AB33" s="2">
        <f t="shared" si="27"/>
        <v>25450.058634350371</v>
      </c>
      <c r="AC33" s="2"/>
      <c r="AD33" s="2">
        <f t="shared" si="28"/>
        <v>29546.424484011073</v>
      </c>
      <c r="AE33" s="2">
        <f t="shared" si="29"/>
        <v>14120.184400520724</v>
      </c>
      <c r="AF33" s="2"/>
      <c r="AG33" s="2">
        <f t="shared" si="30"/>
        <v>33546.611600143209</v>
      </c>
      <c r="AH33" s="2">
        <f t="shared" si="31"/>
        <v>31668.26227585036</v>
      </c>
      <c r="AI33" s="2">
        <f t="shared" si="14"/>
        <v>134331.54139487573</v>
      </c>
      <c r="AJ33" s="2">
        <f t="shared" si="8"/>
        <v>0</v>
      </c>
    </row>
    <row r="34" spans="1:36" x14ac:dyDescent="0.55000000000000004">
      <c r="A34">
        <f t="shared" si="9"/>
        <v>2007</v>
      </c>
      <c r="B34" s="2">
        <f t="shared" si="15"/>
        <v>26821.816794741859</v>
      </c>
      <c r="C34" s="2"/>
      <c r="D34" s="2">
        <f t="shared" si="16"/>
        <v>31325.414702193382</v>
      </c>
      <c r="E34" s="2">
        <f t="shared" si="17"/>
        <v>14283.413732190744</v>
      </c>
      <c r="F34" s="2"/>
      <c r="G34" s="2">
        <f t="shared" si="18"/>
        <v>38753.716652717434</v>
      </c>
      <c r="H34" s="2">
        <f t="shared" si="19"/>
        <v>33859.706025339205</v>
      </c>
      <c r="I34" s="2">
        <f t="shared" si="20"/>
        <v>145044.06790718262</v>
      </c>
      <c r="J34" s="2">
        <f t="shared" si="21"/>
        <v>10712.526512306882</v>
      </c>
      <c r="K34" s="6">
        <f t="shared" si="22"/>
        <v>7.9746918713727549E-2</v>
      </c>
      <c r="L34" s="7">
        <f t="shared" si="23"/>
        <v>1.0797469187137276</v>
      </c>
      <c r="O34">
        <f t="shared" si="10"/>
        <v>2007</v>
      </c>
      <c r="P34" s="6">
        <f t="shared" si="3"/>
        <v>0.18492184604134118</v>
      </c>
      <c r="Q34" s="6"/>
      <c r="R34" s="6">
        <f t="shared" si="4"/>
        <v>0.21597170538707802</v>
      </c>
      <c r="S34" s="6">
        <f t="shared" si="5"/>
        <v>9.8476372996729955E-2</v>
      </c>
      <c r="T34" s="6"/>
      <c r="U34" s="6">
        <f t="shared" si="11"/>
        <v>0.26718580919501594</v>
      </c>
      <c r="V34" s="6">
        <f t="shared" si="12"/>
        <v>0.23344426637983492</v>
      </c>
      <c r="W34" s="6">
        <f t="shared" si="24"/>
        <v>1</v>
      </c>
      <c r="X34" s="7">
        <f t="shared" si="25"/>
        <v>0.76655573362016516</v>
      </c>
      <c r="Y34" s="7">
        <f t="shared" si="26"/>
        <v>0</v>
      </c>
      <c r="Z34" s="22"/>
      <c r="AA34">
        <f t="shared" si="13"/>
        <v>2007</v>
      </c>
      <c r="AB34" s="2">
        <f t="shared" si="27"/>
        <v>26821.816794741859</v>
      </c>
      <c r="AC34" s="2"/>
      <c r="AD34" s="2">
        <f t="shared" si="28"/>
        <v>31325.414702193382</v>
      </c>
      <c r="AE34" s="2">
        <f t="shared" si="29"/>
        <v>14283.413732190744</v>
      </c>
      <c r="AF34" s="2"/>
      <c r="AG34" s="2">
        <f t="shared" si="30"/>
        <v>38753.716652717434</v>
      </c>
      <c r="AH34" s="2">
        <f t="shared" si="31"/>
        <v>33859.706025339205</v>
      </c>
      <c r="AI34" s="2">
        <f t="shared" si="14"/>
        <v>145044.06790718262</v>
      </c>
      <c r="AJ34" s="2">
        <f t="shared" si="8"/>
        <v>0</v>
      </c>
    </row>
    <row r="35" spans="1:36" x14ac:dyDescent="0.55000000000000004">
      <c r="A35">
        <f t="shared" si="9"/>
        <v>2008</v>
      </c>
      <c r="B35" s="2">
        <f t="shared" si="15"/>
        <v>16892.38021732842</v>
      </c>
      <c r="C35" s="2"/>
      <c r="D35" s="2">
        <f t="shared" si="16"/>
        <v>18223.873257148025</v>
      </c>
      <c r="E35" s="2">
        <f t="shared" si="17"/>
        <v>9131.3863989895417</v>
      </c>
      <c r="F35" s="2"/>
      <c r="G35" s="2">
        <f t="shared" si="18"/>
        <v>21662.940071702516</v>
      </c>
      <c r="H35" s="2">
        <f t="shared" si="19"/>
        <v>35569.621179618836</v>
      </c>
      <c r="I35" s="2">
        <f t="shared" si="20"/>
        <v>101480.20112478733</v>
      </c>
      <c r="J35" s="2">
        <f t="shared" si="21"/>
        <v>-43563.866782395286</v>
      </c>
      <c r="K35" s="6">
        <f t="shared" si="22"/>
        <v>-0.30034917946642886</v>
      </c>
      <c r="L35" s="7">
        <f t="shared" si="23"/>
        <v>0.69965082053357119</v>
      </c>
      <c r="O35">
        <f t="shared" si="10"/>
        <v>2008</v>
      </c>
      <c r="P35" s="6">
        <f t="shared" si="3"/>
        <v>0.16645986143204761</v>
      </c>
      <c r="Q35" s="6"/>
      <c r="R35" s="6">
        <f t="shared" si="4"/>
        <v>0.17958057882383033</v>
      </c>
      <c r="S35" s="6">
        <f t="shared" si="5"/>
        <v>8.9981950151645188E-2</v>
      </c>
      <c r="T35" s="6"/>
      <c r="U35" s="6">
        <f t="shared" si="11"/>
        <v>0.21346962098610953</v>
      </c>
      <c r="V35" s="6">
        <f t="shared" si="12"/>
        <v>0.35050798860636745</v>
      </c>
      <c r="W35" s="6">
        <f t="shared" si="24"/>
        <v>1</v>
      </c>
      <c r="X35" s="7">
        <f t="shared" si="25"/>
        <v>0.64949201139363266</v>
      </c>
      <c r="Y35" s="7">
        <f t="shared" si="26"/>
        <v>0</v>
      </c>
      <c r="Z35" s="22"/>
      <c r="AA35">
        <f t="shared" si="13"/>
        <v>2008</v>
      </c>
      <c r="AB35" s="36">
        <v>0</v>
      </c>
      <c r="AC35" s="36"/>
      <c r="AD35" s="36">
        <v>0</v>
      </c>
      <c r="AE35" s="36">
        <v>0</v>
      </c>
      <c r="AF35" s="36"/>
      <c r="AG35" s="36">
        <v>0</v>
      </c>
      <c r="AH35" s="36">
        <f>I35</f>
        <v>101480.20112478733</v>
      </c>
      <c r="AI35" s="2">
        <f t="shared" si="14"/>
        <v>101480.20112478733</v>
      </c>
      <c r="AJ35" s="2">
        <f t="shared" si="8"/>
        <v>0</v>
      </c>
    </row>
    <row r="36" spans="1:36" x14ac:dyDescent="0.55000000000000004">
      <c r="A36">
        <f t="shared" si="9"/>
        <v>2009</v>
      </c>
      <c r="B36" s="2">
        <f t="shared" si="15"/>
        <v>0</v>
      </c>
      <c r="C36" s="2"/>
      <c r="D36" s="2">
        <f t="shared" si="16"/>
        <v>0</v>
      </c>
      <c r="E36" s="2">
        <f t="shared" si="17"/>
        <v>0</v>
      </c>
      <c r="F36" s="2"/>
      <c r="G36" s="2">
        <f t="shared" si="18"/>
        <v>0</v>
      </c>
      <c r="H36" s="2">
        <f t="shared" si="19"/>
        <v>107497.97705148721</v>
      </c>
      <c r="I36" s="2">
        <f t="shared" si="20"/>
        <v>107497.97705148721</v>
      </c>
      <c r="J36" s="2">
        <f t="shared" si="21"/>
        <v>6017.7759266998764</v>
      </c>
      <c r="K36" s="6">
        <f t="shared" si="22"/>
        <v>5.9299999999999881E-2</v>
      </c>
      <c r="L36" s="7">
        <f t="shared" si="23"/>
        <v>1.0592999999999999</v>
      </c>
      <c r="O36">
        <f t="shared" si="10"/>
        <v>2009</v>
      </c>
      <c r="P36" s="6">
        <f t="shared" si="3"/>
        <v>0</v>
      </c>
      <c r="Q36" s="6"/>
      <c r="R36" s="6">
        <f t="shared" si="4"/>
        <v>0</v>
      </c>
      <c r="S36" s="6">
        <f t="shared" si="5"/>
        <v>0</v>
      </c>
      <c r="T36" s="6"/>
      <c r="U36" s="6">
        <f t="shared" si="11"/>
        <v>0</v>
      </c>
      <c r="V36" s="6">
        <f t="shared" si="12"/>
        <v>1</v>
      </c>
      <c r="W36" s="6">
        <f t="shared" si="24"/>
        <v>1</v>
      </c>
      <c r="X36" s="7">
        <f t="shared" si="25"/>
        <v>0</v>
      </c>
      <c r="Y36" s="7">
        <f t="shared" si="26"/>
        <v>0</v>
      </c>
      <c r="Z36" s="22"/>
      <c r="AA36">
        <f t="shared" si="13"/>
        <v>2009</v>
      </c>
      <c r="AB36" s="36">
        <f>$I36*P$26</f>
        <v>21499.595410297443</v>
      </c>
      <c r="AC36" s="36"/>
      <c r="AD36" s="36">
        <f>$I36*R$26</f>
        <v>21499.595410297443</v>
      </c>
      <c r="AE36" s="36">
        <f>$I36*S$26</f>
        <v>10749.797705148721</v>
      </c>
      <c r="AF36" s="36"/>
      <c r="AG36" s="36">
        <f>$I36*U$26</f>
        <v>21499.595410297443</v>
      </c>
      <c r="AH36" s="36">
        <f>$I36*V$26</f>
        <v>32249.393115446161</v>
      </c>
      <c r="AI36" s="2">
        <f t="shared" si="14"/>
        <v>107497.97705148721</v>
      </c>
      <c r="AJ36" s="2">
        <f t="shared" si="8"/>
        <v>0</v>
      </c>
    </row>
    <row r="37" spans="1:36" x14ac:dyDescent="0.55000000000000004">
      <c r="A37">
        <f t="shared" si="9"/>
        <v>2010</v>
      </c>
      <c r="B37" s="2">
        <f t="shared" si="15"/>
        <v>24705.185085972793</v>
      </c>
      <c r="C37" s="2"/>
      <c r="D37" s="2">
        <f t="shared" si="16"/>
        <v>26973.392401759171</v>
      </c>
      <c r="E37" s="2">
        <f t="shared" si="17"/>
        <v>13729.641629015949</v>
      </c>
      <c r="F37" s="2"/>
      <c r="G37" s="2">
        <f t="shared" si="18"/>
        <v>23890.350419922517</v>
      </c>
      <c r="H37" s="2">
        <f t="shared" si="19"/>
        <v>34319.804153457808</v>
      </c>
      <c r="I37" s="2">
        <f t="shared" si="20"/>
        <v>123618.37369012824</v>
      </c>
      <c r="J37" s="2">
        <f t="shared" si="21"/>
        <v>16120.396638641032</v>
      </c>
      <c r="K37" s="6">
        <f t="shared" si="22"/>
        <v>0.14996000000000009</v>
      </c>
      <c r="L37" s="7">
        <f t="shared" si="23"/>
        <v>1.1499600000000001</v>
      </c>
      <c r="O37">
        <f t="shared" si="10"/>
        <v>2010</v>
      </c>
      <c r="P37" s="6">
        <f t="shared" si="3"/>
        <v>0.19985042958015931</v>
      </c>
      <c r="Q37" s="6"/>
      <c r="R37" s="6">
        <f t="shared" si="4"/>
        <v>0.21819889387456953</v>
      </c>
      <c r="S37" s="6">
        <f t="shared" si="5"/>
        <v>0.11106473268635432</v>
      </c>
      <c r="T37" s="7"/>
      <c r="U37" s="6">
        <f t="shared" si="11"/>
        <v>0.19325889596159865</v>
      </c>
      <c r="V37" s="6">
        <f t="shared" si="12"/>
        <v>0.27762704789731818</v>
      </c>
      <c r="W37" s="6">
        <f t="shared" si="24"/>
        <v>1</v>
      </c>
      <c r="X37" s="7">
        <f t="shared" si="25"/>
        <v>0.72237295210268182</v>
      </c>
      <c r="Y37" s="7">
        <f t="shared" si="26"/>
        <v>0</v>
      </c>
      <c r="Z37" s="22"/>
      <c r="AA37">
        <f t="shared" si="13"/>
        <v>2010</v>
      </c>
      <c r="AB37" s="2">
        <f t="shared" ref="AB37:AB39" si="32">B37</f>
        <v>24705.185085972793</v>
      </c>
      <c r="AC37" s="2"/>
      <c r="AD37" s="2">
        <f t="shared" ref="AD37:AE39" si="33">D37</f>
        <v>26973.392401759171</v>
      </c>
      <c r="AE37" s="2">
        <f t="shared" si="33"/>
        <v>13729.641629015949</v>
      </c>
      <c r="AF37" s="2"/>
      <c r="AG37" s="2">
        <f t="shared" ref="AG37:AH39" si="34">G37</f>
        <v>23890.350419922517</v>
      </c>
      <c r="AH37" s="2">
        <f t="shared" si="34"/>
        <v>34319.804153457808</v>
      </c>
      <c r="AI37" s="2">
        <f t="shared" si="14"/>
        <v>123618.37369012824</v>
      </c>
      <c r="AJ37" s="2">
        <f t="shared" si="8"/>
        <v>0</v>
      </c>
    </row>
    <row r="38" spans="1:36" x14ac:dyDescent="0.55000000000000004">
      <c r="A38">
        <f t="shared" si="9"/>
        <v>2011</v>
      </c>
      <c r="B38" s="2">
        <f t="shared" si="15"/>
        <v>25191.877232166458</v>
      </c>
      <c r="C38" s="2"/>
      <c r="D38" s="2">
        <f t="shared" si="16"/>
        <v>26404.253822082053</v>
      </c>
      <c r="E38" s="2">
        <f t="shared" si="17"/>
        <v>13345.211663403501</v>
      </c>
      <c r="F38" s="2"/>
      <c r="G38" s="2">
        <f t="shared" si="18"/>
        <v>20411.915398781799</v>
      </c>
      <c r="H38" s="2">
        <f t="shared" si="19"/>
        <v>36914.381347459224</v>
      </c>
      <c r="I38" s="2">
        <f t="shared" si="20"/>
        <v>122267.63946389305</v>
      </c>
      <c r="J38" s="2">
        <f t="shared" si="21"/>
        <v>-1350.7342262351885</v>
      </c>
      <c r="K38" s="6">
        <f t="shared" si="22"/>
        <v>-1.0926646144213542E-2</v>
      </c>
      <c r="L38" s="7">
        <f t="shared" si="23"/>
        <v>0.98907335385578643</v>
      </c>
      <c r="O38">
        <f t="shared" si="10"/>
        <v>2011</v>
      </c>
      <c r="P38" s="6">
        <f t="shared" si="3"/>
        <v>0.20603879605940942</v>
      </c>
      <c r="Q38" s="7"/>
      <c r="R38" s="6">
        <f t="shared" si="4"/>
        <v>0.21595455623300483</v>
      </c>
      <c r="S38" s="6">
        <f t="shared" si="5"/>
        <v>0.10914753668197287</v>
      </c>
      <c r="T38" s="7"/>
      <c r="U38" s="6">
        <f t="shared" si="11"/>
        <v>0.16694454467496003</v>
      </c>
      <c r="V38" s="6">
        <f t="shared" si="12"/>
        <v>0.30191456635065272</v>
      </c>
      <c r="W38" s="6">
        <f t="shared" si="24"/>
        <v>0.99999999999999989</v>
      </c>
      <c r="X38" s="7">
        <f t="shared" si="25"/>
        <v>0.69808543364934716</v>
      </c>
      <c r="Y38" s="7">
        <f t="shared" si="26"/>
        <v>0</v>
      </c>
      <c r="Z38" s="22"/>
      <c r="AA38">
        <f t="shared" si="13"/>
        <v>2011</v>
      </c>
      <c r="AB38" s="2">
        <f t="shared" si="32"/>
        <v>25191.877232166458</v>
      </c>
      <c r="AC38" s="2"/>
      <c r="AD38" s="2">
        <f t="shared" si="33"/>
        <v>26404.253822082053</v>
      </c>
      <c r="AE38" s="2">
        <f t="shared" si="33"/>
        <v>13345.211663403501</v>
      </c>
      <c r="AF38" s="2"/>
      <c r="AG38" s="2">
        <f t="shared" si="34"/>
        <v>20411.915398781799</v>
      </c>
      <c r="AH38" s="2">
        <f t="shared" si="34"/>
        <v>36914.381347459224</v>
      </c>
      <c r="AI38" s="2">
        <f t="shared" si="14"/>
        <v>122267.63946389305</v>
      </c>
      <c r="AJ38" s="2">
        <f t="shared" si="8"/>
        <v>0</v>
      </c>
    </row>
    <row r="39" spans="1:36" x14ac:dyDescent="0.55000000000000004">
      <c r="A39">
        <f t="shared" si="9"/>
        <v>2012</v>
      </c>
      <c r="B39" s="2">
        <f t="shared" si="15"/>
        <v>29177.232210295188</v>
      </c>
      <c r="C39" s="2"/>
      <c r="D39" s="2">
        <f t="shared" si="16"/>
        <v>30576.125925971017</v>
      </c>
      <c r="E39" s="2">
        <f t="shared" si="17"/>
        <v>15752.687847481495</v>
      </c>
      <c r="F39" s="2"/>
      <c r="G39" s="2">
        <f t="shared" si="18"/>
        <v>24114.636852120817</v>
      </c>
      <c r="H39" s="2">
        <f t="shared" si="19"/>
        <v>38409.413792031322</v>
      </c>
      <c r="I39" s="2">
        <f t="shared" si="20"/>
        <v>138030.09662789985</v>
      </c>
      <c r="J39" s="2">
        <f t="shared" si="21"/>
        <v>15762.457164006802</v>
      </c>
      <c r="K39" s="6">
        <f t="shared" si="22"/>
        <v>0.12891765338008038</v>
      </c>
      <c r="L39" s="7">
        <f t="shared" si="23"/>
        <v>1.1289176533800804</v>
      </c>
      <c r="O39">
        <f t="shared" si="10"/>
        <v>2012</v>
      </c>
      <c r="P39" s="6">
        <f t="shared" si="3"/>
        <v>0.21138311805251342</v>
      </c>
      <c r="Q39" s="7"/>
      <c r="R39" s="6">
        <f t="shared" si="4"/>
        <v>0.22151781874352974</v>
      </c>
      <c r="S39" s="6">
        <f t="shared" si="5"/>
        <v>0.11412502224023963</v>
      </c>
      <c r="T39" s="7"/>
      <c r="U39" s="6">
        <f t="shared" si="11"/>
        <v>0.17470564348823731</v>
      </c>
      <c r="V39" s="6">
        <f t="shared" si="12"/>
        <v>0.27826839747547982</v>
      </c>
      <c r="W39" s="6">
        <f t="shared" si="24"/>
        <v>0.99999999999999978</v>
      </c>
      <c r="X39" s="7">
        <f t="shared" si="25"/>
        <v>0.72173160252451996</v>
      </c>
      <c r="Y39" s="7">
        <f t="shared" si="26"/>
        <v>0</v>
      </c>
      <c r="Z39" s="22"/>
      <c r="AA39">
        <f t="shared" si="13"/>
        <v>2012</v>
      </c>
      <c r="AB39" s="2">
        <f t="shared" si="32"/>
        <v>29177.232210295188</v>
      </c>
      <c r="AC39" s="2"/>
      <c r="AD39" s="2">
        <f t="shared" si="33"/>
        <v>30576.125925971017</v>
      </c>
      <c r="AE39" s="2">
        <f t="shared" si="33"/>
        <v>15752.687847481495</v>
      </c>
      <c r="AF39" s="2"/>
      <c r="AG39" s="2">
        <f t="shared" si="34"/>
        <v>24114.636852120817</v>
      </c>
      <c r="AH39" s="2">
        <f t="shared" si="34"/>
        <v>38409.413792031322</v>
      </c>
      <c r="AI39" s="2">
        <f t="shared" si="14"/>
        <v>138030.09662789985</v>
      </c>
      <c r="AJ39" s="2">
        <f t="shared" si="8"/>
        <v>0</v>
      </c>
    </row>
    <row r="40" spans="1:36" x14ac:dyDescent="0.55000000000000004">
      <c r="A40">
        <f t="shared" si="9"/>
        <v>2013</v>
      </c>
      <c r="B40" s="2">
        <f t="shared" si="15"/>
        <v>38566.465535568183</v>
      </c>
      <c r="C40" s="2"/>
      <c r="D40" s="2">
        <f t="shared" ref="D40:E40" si="35">AD39*(1+(D17/100))</f>
        <v>41277.770000060875</v>
      </c>
      <c r="E40" s="2">
        <f t="shared" si="35"/>
        <v>21678.849015704032</v>
      </c>
      <c r="F40" s="2"/>
      <c r="G40" s="2">
        <f t="shared" ref="G40:H40" si="36">AG39*(1+(G17/100))</f>
        <v>27741.478234679784</v>
      </c>
      <c r="H40" s="2">
        <f t="shared" si="36"/>
        <v>37541.361040331416</v>
      </c>
      <c r="I40" s="2">
        <f t="shared" ref="I40:I41" si="37">SUM(B40:H40)</f>
        <v>166805.92382634431</v>
      </c>
      <c r="J40" s="2">
        <f t="shared" ref="J40:J41" si="38">I40-I39</f>
        <v>28775.827198444458</v>
      </c>
      <c r="K40" s="6">
        <f t="shared" ref="K40:K41" si="39">(J40/I39)</f>
        <v>0.20847502031399748</v>
      </c>
      <c r="L40" s="7">
        <f t="shared" ref="L40:L41" si="40">K40+1</f>
        <v>1.2084750203139976</v>
      </c>
      <c r="O40">
        <f t="shared" ref="O40:O41" si="41">A40</f>
        <v>2013</v>
      </c>
      <c r="P40" s="6">
        <f t="shared" ref="P40:P41" si="42">B40/$I40</f>
        <v>0.23120561099327835</v>
      </c>
      <c r="Q40" s="7"/>
      <c r="R40" s="6">
        <f t="shared" ref="R40:R41" si="43">D40/$I40</f>
        <v>0.24745985665972922</v>
      </c>
      <c r="S40" s="6">
        <f t="shared" ref="S40:S41" si="44">E40/$I40</f>
        <v>0.12996450316880298</v>
      </c>
      <c r="T40" s="7"/>
      <c r="U40" s="6">
        <f t="shared" ref="U40:U41" si="45">G40/$I40</f>
        <v>0.16630991033364287</v>
      </c>
      <c r="V40" s="6">
        <f t="shared" ref="V40:V41" si="46">H40/$I40</f>
        <v>0.22506011884454646</v>
      </c>
      <c r="W40" s="6">
        <f t="shared" ref="W40:W41" si="47">SUM(P40:V40)</f>
        <v>0.99999999999999989</v>
      </c>
      <c r="X40" s="7">
        <f t="shared" ref="X40:X41" si="48">SUM(P40:U40)</f>
        <v>0.77493988115545342</v>
      </c>
      <c r="Y40" s="7">
        <f t="shared" ref="Y40:Y41" si="49">W40-(X40+V40)</f>
        <v>0</v>
      </c>
      <c r="Z40" s="22"/>
      <c r="AA40">
        <f t="shared" ref="AA40:AA41" si="50">O40</f>
        <v>2013</v>
      </c>
      <c r="AB40" s="2">
        <f t="shared" ref="AB40:AB41" si="51">B40</f>
        <v>38566.465535568183</v>
      </c>
      <c r="AC40" s="2"/>
      <c r="AD40" s="2">
        <f t="shared" ref="AD40:AD41" si="52">D40</f>
        <v>41277.770000060875</v>
      </c>
      <c r="AE40" s="2">
        <f t="shared" ref="AE40:AE41" si="53">E40</f>
        <v>21678.849015704032</v>
      </c>
      <c r="AF40" s="2"/>
      <c r="AG40" s="2">
        <f t="shared" ref="AG40:AG41" si="54">G40</f>
        <v>27741.478234679784</v>
      </c>
      <c r="AH40" s="2">
        <f t="shared" ref="AH40:AH41" si="55">H40</f>
        <v>37541.361040331416</v>
      </c>
      <c r="AI40" s="2">
        <f t="shared" ref="AI40:AI41" si="56">SUM(AB40:AH40)</f>
        <v>166805.92382634431</v>
      </c>
      <c r="AJ40" s="2">
        <f t="shared" ref="AJ40:AJ41" si="57">AI40-I40</f>
        <v>0</v>
      </c>
    </row>
    <row r="41" spans="1:36" x14ac:dyDescent="0.55000000000000004">
      <c r="A41">
        <f t="shared" si="9"/>
        <v>2014</v>
      </c>
      <c r="B41" s="2">
        <f t="shared" si="15"/>
        <v>43776.795029423447</v>
      </c>
      <c r="C41" s="2"/>
      <c r="D41" s="2">
        <f t="shared" ref="D41:E41" si="58">AD40*(1+(D18/100))</f>
        <v>46891.546720069156</v>
      </c>
      <c r="E41" s="2">
        <f t="shared" si="58"/>
        <v>23276.580188161421</v>
      </c>
      <c r="F41" s="2"/>
      <c r="G41" s="2">
        <f t="shared" ref="G41:H41" si="59">AG40*(1+(G18/100))</f>
        <v>26565.239557529359</v>
      </c>
      <c r="H41" s="2">
        <f t="shared" si="59"/>
        <v>39703.74343625451</v>
      </c>
      <c r="I41" s="2">
        <f t="shared" si="37"/>
        <v>180213.90493143786</v>
      </c>
      <c r="J41" s="2">
        <f t="shared" si="38"/>
        <v>13407.981105093553</v>
      </c>
      <c r="K41" s="6">
        <f t="shared" si="39"/>
        <v>8.0380725081755033E-2</v>
      </c>
      <c r="L41" s="7">
        <f t="shared" si="40"/>
        <v>1.080380725081755</v>
      </c>
      <c r="O41">
        <f t="shared" si="41"/>
        <v>2014</v>
      </c>
      <c r="P41" s="6">
        <f t="shared" si="42"/>
        <v>0.24291574529766874</v>
      </c>
      <c r="Q41" s="7"/>
      <c r="R41" s="6">
        <f t="shared" si="43"/>
        <v>0.26019938216148736</v>
      </c>
      <c r="S41" s="6">
        <f t="shared" si="44"/>
        <v>0.12916084470294878</v>
      </c>
      <c r="T41" s="7"/>
      <c r="U41" s="6">
        <f t="shared" si="45"/>
        <v>0.14740948856103012</v>
      </c>
      <c r="V41" s="6">
        <f t="shared" si="46"/>
        <v>0.22031453927686515</v>
      </c>
      <c r="W41" s="6">
        <f t="shared" si="47"/>
        <v>1</v>
      </c>
      <c r="X41" s="7">
        <f t="shared" si="48"/>
        <v>0.77968546072313494</v>
      </c>
      <c r="Y41" s="7">
        <f t="shared" si="49"/>
        <v>0</v>
      </c>
      <c r="AA41">
        <f t="shared" si="50"/>
        <v>2014</v>
      </c>
      <c r="AB41" s="2">
        <f t="shared" si="51"/>
        <v>43776.795029423447</v>
      </c>
      <c r="AC41" s="2"/>
      <c r="AD41" s="2">
        <f t="shared" si="52"/>
        <v>46891.546720069156</v>
      </c>
      <c r="AE41" s="2">
        <f t="shared" si="53"/>
        <v>23276.580188161421</v>
      </c>
      <c r="AF41" s="2"/>
      <c r="AG41" s="2">
        <f t="shared" si="54"/>
        <v>26565.239557529359</v>
      </c>
      <c r="AH41" s="2">
        <f t="shared" si="55"/>
        <v>39703.74343625451</v>
      </c>
      <c r="AI41" s="2">
        <f t="shared" si="56"/>
        <v>180213.90493143786</v>
      </c>
      <c r="AJ41" s="2">
        <f t="shared" si="57"/>
        <v>0</v>
      </c>
    </row>
    <row r="42" spans="1:36" x14ac:dyDescent="0.55000000000000004">
      <c r="A42">
        <f t="shared" ref="A42:A43" si="60">A19</f>
        <v>2015</v>
      </c>
      <c r="B42" s="2">
        <f t="shared" ref="B42:B43" si="61">AB41*(1+(B19/100))</f>
        <v>44324.004967291236</v>
      </c>
      <c r="C42" s="2"/>
      <c r="D42" s="2">
        <f t="shared" ref="D42:D43" si="62">AD41*(1+(D19/100))</f>
        <v>46206.930137956151</v>
      </c>
      <c r="E42" s="2">
        <f t="shared" ref="E42:E43" si="63">AE41*(1+(E19/100))</f>
        <v>22396.725457048917</v>
      </c>
      <c r="F42" s="2"/>
      <c r="G42" s="2">
        <f t="shared" ref="G42:G43" si="64">AG41*(1+(G19/100))</f>
        <v>25404.338588865328</v>
      </c>
      <c r="H42" s="2">
        <f t="shared" ref="H42:H43" si="65">AH41*(1+(H19/100))</f>
        <v>39822.854666563268</v>
      </c>
      <c r="I42" s="2">
        <f t="shared" ref="I42:I43" si="66">SUM(B42:H42)</f>
        <v>178154.85381772491</v>
      </c>
      <c r="J42" s="2">
        <f t="shared" ref="J42:J43" si="67">I42-I41</f>
        <v>-2059.0511137129506</v>
      </c>
      <c r="K42" s="6">
        <f t="shared" ref="K42:K43" si="68">(J42/I41)</f>
        <v>-1.1425595125394535E-2</v>
      </c>
      <c r="L42" s="7">
        <f t="shared" ref="L42:L43" si="69">K42+1</f>
        <v>0.98857440487460546</v>
      </c>
      <c r="O42">
        <f t="shared" ref="O42:O43" si="70">A42</f>
        <v>2015</v>
      </c>
      <c r="P42" s="6">
        <f t="shared" ref="P42:P43" si="71">B42/$I42</f>
        <v>0.24879482100802222</v>
      </c>
      <c r="Q42" s="7"/>
      <c r="R42" s="6">
        <f t="shared" ref="R42:R43" si="72">D42/$I42</f>
        <v>0.25936385760913211</v>
      </c>
      <c r="S42" s="6">
        <f t="shared" ref="S42:S43" si="73">E42/$I42</f>
        <v>0.12571493269537082</v>
      </c>
      <c r="T42" s="7"/>
      <c r="U42" s="6">
        <f t="shared" ref="U42:U43" si="74">G42/$I42</f>
        <v>0.14259694891533631</v>
      </c>
      <c r="V42" s="6">
        <f t="shared" ref="V42:V43" si="75">H42/$I42</f>
        <v>0.22352943977213843</v>
      </c>
      <c r="W42" s="6">
        <f t="shared" ref="W42:W43" si="76">SUM(P42:V42)</f>
        <v>0.99999999999999989</v>
      </c>
      <c r="X42" s="7">
        <f t="shared" ref="X42:X43" si="77">SUM(P42:U42)</f>
        <v>0.77647056022786143</v>
      </c>
      <c r="Y42" s="7">
        <f t="shared" ref="Y42:Y43" si="78">W42-(X42+V42)</f>
        <v>0</v>
      </c>
      <c r="AA42">
        <f t="shared" ref="AA42:AA43" si="79">O42</f>
        <v>2015</v>
      </c>
      <c r="AB42" s="2">
        <f t="shared" ref="AB42:AB43" si="80">B42</f>
        <v>44324.004967291236</v>
      </c>
      <c r="AC42" s="2"/>
      <c r="AD42" s="2">
        <f t="shared" ref="AD42:AD43" si="81">D42</f>
        <v>46206.930137956151</v>
      </c>
      <c r="AE42" s="2">
        <f t="shared" ref="AE42:AE43" si="82">E42</f>
        <v>22396.725457048917</v>
      </c>
      <c r="AF42" s="2"/>
      <c r="AG42" s="2">
        <f t="shared" ref="AG42:AG43" si="83">G42</f>
        <v>25404.338588865328</v>
      </c>
      <c r="AH42" s="2">
        <f t="shared" ref="AH42:AH43" si="84">H42</f>
        <v>39822.854666563268</v>
      </c>
      <c r="AI42" s="2">
        <f t="shared" ref="AI42:AI43" si="85">SUM(AB42:AH42)</f>
        <v>178154.85381772491</v>
      </c>
      <c r="AJ42" s="2">
        <f t="shared" ref="AJ42:AJ43" si="86">AI42-I42</f>
        <v>0</v>
      </c>
    </row>
    <row r="43" spans="1:36" x14ac:dyDescent="0.55000000000000004">
      <c r="A43">
        <f t="shared" si="60"/>
        <v>2016</v>
      </c>
      <c r="B43" s="2">
        <f t="shared" si="61"/>
        <v>49563.102354425064</v>
      </c>
      <c r="C43" s="2"/>
      <c r="D43" s="2">
        <f t="shared" si="62"/>
        <v>51322.037304227895</v>
      </c>
      <c r="E43" s="2">
        <f t="shared" si="63"/>
        <v>26466.210472594703</v>
      </c>
      <c r="F43" s="2"/>
      <c r="G43" s="2">
        <f t="shared" si="64"/>
        <v>26585.640333247567</v>
      </c>
      <c r="H43" s="2">
        <f t="shared" si="65"/>
        <v>40818.426033227348</v>
      </c>
      <c r="I43" s="2">
        <f t="shared" si="66"/>
        <v>194755.41649772259</v>
      </c>
      <c r="J43" s="2">
        <f t="shared" si="67"/>
        <v>16600.562679997674</v>
      </c>
      <c r="K43" s="6">
        <f t="shared" si="68"/>
        <v>9.3180524270094614E-2</v>
      </c>
      <c r="L43" s="7">
        <f t="shared" si="69"/>
        <v>1.0931805242700947</v>
      </c>
      <c r="O43">
        <f t="shared" si="70"/>
        <v>2016</v>
      </c>
      <c r="P43" s="6">
        <f t="shared" si="71"/>
        <v>0.254488954637134</v>
      </c>
      <c r="Q43" s="7"/>
      <c r="R43" s="6">
        <f t="shared" si="72"/>
        <v>0.26352046185492378</v>
      </c>
      <c r="S43" s="6">
        <f t="shared" si="73"/>
        <v>0.13589460539036763</v>
      </c>
      <c r="T43" s="7"/>
      <c r="U43" s="6">
        <f t="shared" si="74"/>
        <v>0.13650783537287883</v>
      </c>
      <c r="V43" s="6">
        <f t="shared" si="75"/>
        <v>0.2095881427446957</v>
      </c>
      <c r="W43" s="6">
        <f t="shared" si="76"/>
        <v>1</v>
      </c>
      <c r="X43" s="7">
        <f t="shared" si="77"/>
        <v>0.79041185725530427</v>
      </c>
      <c r="Y43" s="7">
        <f t="shared" si="78"/>
        <v>0</v>
      </c>
      <c r="AA43">
        <f t="shared" si="79"/>
        <v>2016</v>
      </c>
      <c r="AB43" s="2">
        <f t="shared" si="80"/>
        <v>49563.102354425064</v>
      </c>
      <c r="AC43" s="2"/>
      <c r="AD43" s="2">
        <f t="shared" si="81"/>
        <v>51322.037304227895</v>
      </c>
      <c r="AE43" s="2">
        <f t="shared" si="82"/>
        <v>26466.210472594703</v>
      </c>
      <c r="AF43" s="2"/>
      <c r="AG43" s="2">
        <f t="shared" si="83"/>
        <v>26585.640333247567</v>
      </c>
      <c r="AH43" s="2">
        <f t="shared" si="84"/>
        <v>40818.426033227348</v>
      </c>
      <c r="AI43" s="2">
        <f t="shared" si="85"/>
        <v>194755.41649772259</v>
      </c>
      <c r="AJ43" s="2">
        <f t="shared" si="86"/>
        <v>0</v>
      </c>
    </row>
    <row r="44" spans="1:36" x14ac:dyDescent="0.55000000000000004">
      <c r="A44" s="9" t="s">
        <v>41</v>
      </c>
      <c r="B44" s="10">
        <f>AB43</f>
        <v>49563.102354425064</v>
      </c>
      <c r="C44" s="10"/>
      <c r="D44" s="10">
        <f>AD43</f>
        <v>51322.037304227895</v>
      </c>
      <c r="E44" s="10">
        <f>AE43</f>
        <v>26466.210472594703</v>
      </c>
      <c r="F44" s="10"/>
      <c r="G44" s="10">
        <f>AG43</f>
        <v>26585.640333247567</v>
      </c>
      <c r="H44" s="10">
        <f>AH43</f>
        <v>40818.426033227348</v>
      </c>
      <c r="I44" s="10">
        <f>SUM(B44:H44)</f>
        <v>194755.41649772259</v>
      </c>
      <c r="J44" s="10"/>
      <c r="K44" s="10"/>
    </row>
    <row r="45" spans="1:36" x14ac:dyDescent="0.55000000000000004">
      <c r="A45" s="11" t="s">
        <v>42</v>
      </c>
      <c r="I45" s="6">
        <f>(I44-I26)/I26</f>
        <v>0.94755416497722589</v>
      </c>
      <c r="K45" s="6"/>
    </row>
    <row r="46" spans="1:36" x14ac:dyDescent="0.55000000000000004">
      <c r="A46" s="1" t="s">
        <v>43</v>
      </c>
      <c r="I46" s="12">
        <f>STDEV(L27:L43)</f>
        <v>0.11655096068450151</v>
      </c>
    </row>
    <row r="47" spans="1:36" x14ac:dyDescent="0.55000000000000004">
      <c r="A47" s="1" t="s">
        <v>44</v>
      </c>
      <c r="I47" s="13">
        <f>((1+I45)^(1/16))-1</f>
        <v>4.2540887384092008E-2</v>
      </c>
    </row>
    <row r="48" spans="1:36" x14ac:dyDescent="0.55000000000000004">
      <c r="A48" s="1" t="s">
        <v>45</v>
      </c>
      <c r="I48" s="28">
        <f>J35</f>
        <v>-43563.866782395286</v>
      </c>
    </row>
    <row r="49" spans="1:9" x14ac:dyDescent="0.55000000000000004">
      <c r="A49" s="1" t="s">
        <v>46</v>
      </c>
      <c r="I49" s="29">
        <f>K35</f>
        <v>-0.30034917946642886</v>
      </c>
    </row>
    <row r="50" spans="1:9" x14ac:dyDescent="0.55000000000000004">
      <c r="A50" s="3" t="s">
        <v>47</v>
      </c>
      <c r="I50" s="30">
        <f>I44-I43</f>
        <v>0</v>
      </c>
    </row>
    <row r="51" spans="1:9" x14ac:dyDescent="0.55000000000000004">
      <c r="A51" s="3" t="s">
        <v>149</v>
      </c>
      <c r="I51" s="30">
        <f>((SUM(J27:J43))-(I44-I26))</f>
        <v>0</v>
      </c>
    </row>
    <row r="52" spans="1:9" x14ac:dyDescent="0.55000000000000004">
      <c r="A52" s="3" t="s">
        <v>156</v>
      </c>
      <c r="I52" s="66">
        <f>COUNTA(I27:I43)</f>
        <v>17</v>
      </c>
    </row>
    <row r="55" spans="1:9" x14ac:dyDescent="0.55000000000000004">
      <c r="I55"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4"/>
  <sheetViews>
    <sheetView topLeftCell="A2" workbookViewId="0">
      <pane ySplit="1200" topLeftCell="A30" activePane="bottomLeft"/>
      <selection activeCell="L2" sqref="L2"/>
      <selection pane="bottomLeft" activeCell="A54" sqref="A54:I54"/>
    </sheetView>
  </sheetViews>
  <sheetFormatPr defaultColWidth="8.83984375" defaultRowHeight="14.4" x14ac:dyDescent="0.55000000000000004"/>
  <cols>
    <col min="1" max="1" width="25.41796875" customWidth="1"/>
    <col min="9" max="9" width="11.68359375" customWidth="1"/>
    <col min="10" max="10" width="10" bestFit="1" customWidth="1"/>
    <col min="15" max="15" width="9.83984375" bestFit="1" customWidth="1"/>
    <col min="16" max="16" width="9.83984375" customWidth="1"/>
    <col min="19" max="19" width="10.83984375" bestFit="1" customWidth="1"/>
    <col min="21" max="21" width="11.83984375" bestFit="1" customWidth="1"/>
    <col min="26" max="26" width="10.83984375" bestFit="1" customWidth="1"/>
    <col min="27" max="31" width="10.83984375" customWidth="1"/>
  </cols>
  <sheetData>
    <row r="1" spans="1:16" x14ac:dyDescent="0.55000000000000004">
      <c r="A1" s="18" t="s">
        <v>96</v>
      </c>
      <c r="N1" s="64" t="s">
        <v>68</v>
      </c>
      <c r="O1" s="42"/>
    </row>
    <row r="2" spans="1:16" x14ac:dyDescent="0.55000000000000004">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55000000000000004">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95</v>
      </c>
      <c r="O3" s="42" t="s">
        <v>70</v>
      </c>
      <c r="P3" s="41"/>
    </row>
    <row r="4" spans="1:16" x14ac:dyDescent="0.55000000000000004">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55000000000000004">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55000000000000004">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55000000000000004">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55000000000000004">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55000000000000004">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55000000000000004">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55000000000000004">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55000000000000004">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55000000000000004">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55000000000000004">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55000000000000004">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55000000000000004">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55000000000000004">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55000000000000004">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55000000000000004">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0" spans="1:43" x14ac:dyDescent="0.55000000000000004">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2">
        <v>2016</v>
      </c>
      <c r="O20" s="43">
        <v>1.7000000000000001E-2</v>
      </c>
      <c r="P20" s="41"/>
    </row>
    <row r="23" spans="1:43" x14ac:dyDescent="0.55000000000000004">
      <c r="A23" s="18" t="s">
        <v>11</v>
      </c>
      <c r="N23" s="18" t="s">
        <v>120</v>
      </c>
      <c r="R23" s="18" t="s">
        <v>16</v>
      </c>
      <c r="AG23" s="18" t="s">
        <v>137</v>
      </c>
    </row>
    <row r="24" spans="1:43"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S24" s="4" t="str">
        <f t="shared" ref="S24:Y24" si="1">B24</f>
        <v>LC Stocks</v>
      </c>
      <c r="T24" s="4" t="str">
        <f t="shared" si="1"/>
        <v>Ext Mkt</v>
      </c>
      <c r="U24" s="4" t="str">
        <f t="shared" si="1"/>
        <v>Mcap Stk</v>
      </c>
      <c r="V24" s="4" t="str">
        <f t="shared" si="1"/>
        <v>Small Cap</v>
      </c>
      <c r="W24" s="4" t="str">
        <f t="shared" si="1"/>
        <v>Intl Val</v>
      </c>
      <c r="X24" s="4" t="str">
        <f t="shared" si="1"/>
        <v>Tot Int Stk</v>
      </c>
      <c r="Y24" s="4" t="str">
        <f t="shared" si="1"/>
        <v>Bonds</v>
      </c>
      <c r="Z24" s="5"/>
      <c r="AA24" s="5" t="s">
        <v>39</v>
      </c>
      <c r="AB24" s="5" t="s">
        <v>36</v>
      </c>
      <c r="AC24" s="5" t="s">
        <v>37</v>
      </c>
      <c r="AD24" s="5" t="s">
        <v>51</v>
      </c>
      <c r="AE24" s="5"/>
      <c r="AH24" s="4" t="str">
        <f t="shared" ref="AH24:AN25" si="2">B24</f>
        <v>LC Stocks</v>
      </c>
      <c r="AI24" s="4" t="str">
        <f t="shared" si="2"/>
        <v>Ext Mkt</v>
      </c>
      <c r="AJ24" s="4" t="str">
        <f t="shared" si="2"/>
        <v>Mcap Stk</v>
      </c>
      <c r="AK24" s="4" t="str">
        <f t="shared" si="2"/>
        <v>Small Cap</v>
      </c>
      <c r="AL24" s="4" t="str">
        <f t="shared" si="2"/>
        <v>Intl Val</v>
      </c>
      <c r="AM24" s="4" t="str">
        <f t="shared" si="2"/>
        <v>Tot Int Stk</v>
      </c>
      <c r="AN24" s="4" t="str">
        <f t="shared" si="2"/>
        <v>Bonds</v>
      </c>
      <c r="AO24" s="5"/>
      <c r="AP24" s="5" t="s">
        <v>6</v>
      </c>
      <c r="AQ24" s="3" t="s">
        <v>7</v>
      </c>
    </row>
    <row r="25" spans="1:43"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R25" t="str">
        <f>A25</f>
        <v>Fund</v>
      </c>
      <c r="S25" s="4" t="str">
        <f t="shared" ref="S25" si="3">B25</f>
        <v>VFINX</v>
      </c>
      <c r="T25" s="4" t="str">
        <f t="shared" ref="T25" si="4">C25</f>
        <v>VEXMX</v>
      </c>
      <c r="U25" s="4" t="str">
        <f t="shared" ref="U25:U26" si="5">D25</f>
        <v>VIMSX</v>
      </c>
      <c r="V25" s="4" t="str">
        <f t="shared" ref="V25:V26" si="6">E25</f>
        <v>NAESX</v>
      </c>
      <c r="W25" s="4" t="str">
        <f t="shared" ref="W25" si="7">F25</f>
        <v>VTRIX</v>
      </c>
      <c r="X25" s="4" t="str">
        <f t="shared" ref="X25:X26" si="8">G25</f>
        <v>VGTSX</v>
      </c>
      <c r="Y25" s="4" t="str">
        <f t="shared" ref="Y25:Y26" si="9">H25</f>
        <v>VBMFX</v>
      </c>
      <c r="Z25" s="5" t="str">
        <f t="shared" ref="Z25:Z26" si="10">I25</f>
        <v>Total</v>
      </c>
      <c r="AA25" s="5" t="s">
        <v>40</v>
      </c>
      <c r="AB25" s="5" t="s">
        <v>38</v>
      </c>
      <c r="AC25" s="5" t="s">
        <v>38</v>
      </c>
      <c r="AD25" s="5" t="s">
        <v>50</v>
      </c>
      <c r="AE25" s="5"/>
      <c r="AG25" t="s">
        <v>117</v>
      </c>
      <c r="AH25" s="4" t="str">
        <f t="shared" si="2"/>
        <v>VFINX</v>
      </c>
      <c r="AI25" s="4" t="str">
        <f t="shared" si="2"/>
        <v>VEXMX</v>
      </c>
      <c r="AJ25" s="4" t="str">
        <f t="shared" si="2"/>
        <v>VIMSX</v>
      </c>
      <c r="AK25" s="4" t="str">
        <f t="shared" si="2"/>
        <v>NAESX</v>
      </c>
      <c r="AL25" s="4" t="str">
        <f t="shared" si="2"/>
        <v>VTRIX</v>
      </c>
      <c r="AM25" s="4" t="str">
        <f t="shared" si="2"/>
        <v>VGTSX</v>
      </c>
      <c r="AN25" s="4" t="str">
        <f t="shared" si="2"/>
        <v>VBMFX</v>
      </c>
      <c r="AO25" s="5" t="s">
        <v>115</v>
      </c>
      <c r="AP25" s="5" t="s">
        <v>7</v>
      </c>
      <c r="AQ25" s="3" t="s">
        <v>50</v>
      </c>
    </row>
    <row r="26" spans="1:43" x14ac:dyDescent="0.55000000000000004">
      <c r="A26" t="s">
        <v>116</v>
      </c>
      <c r="B26" s="2">
        <f>'Non-Rebalanced Portfolio'!B26</f>
        <v>20000</v>
      </c>
      <c r="C26" s="2"/>
      <c r="D26" s="2">
        <f>'Non-Rebalanced Portfolio'!D26</f>
        <v>20000</v>
      </c>
      <c r="E26" s="2">
        <f>'Non-Rebalanced Portfolio'!E26</f>
        <v>10000</v>
      </c>
      <c r="F26" s="2"/>
      <c r="G26" s="2">
        <f>'Non-Rebalanced Portfolio'!G26</f>
        <v>20000</v>
      </c>
      <c r="H26" s="2">
        <f>'Non-Rebalanced Portfolio'!H26</f>
        <v>30000</v>
      </c>
      <c r="I26" s="2">
        <f>SUM(B26:H26)</f>
        <v>100000</v>
      </c>
      <c r="N26" s="19"/>
      <c r="R26" t="str">
        <f>A26</f>
        <v>Stating Balance</v>
      </c>
      <c r="S26" s="2">
        <f>B26</f>
        <v>20000</v>
      </c>
      <c r="T26" s="2"/>
      <c r="U26" s="2">
        <f t="shared" si="5"/>
        <v>20000</v>
      </c>
      <c r="V26" s="2">
        <f t="shared" si="6"/>
        <v>10000</v>
      </c>
      <c r="W26" s="2"/>
      <c r="X26" s="2">
        <f t="shared" si="8"/>
        <v>20000</v>
      </c>
      <c r="Y26" s="2">
        <f t="shared" si="9"/>
        <v>30000</v>
      </c>
      <c r="Z26" s="2">
        <f t="shared" si="10"/>
        <v>100000</v>
      </c>
      <c r="AD26" s="2"/>
      <c r="AE26" s="2"/>
      <c r="AG26" s="19" t="s">
        <v>49</v>
      </c>
      <c r="AH26" s="6">
        <f>S26/$Z26</f>
        <v>0.2</v>
      </c>
      <c r="AI26" s="6"/>
      <c r="AJ26" s="6">
        <f>U26/$Z26</f>
        <v>0.2</v>
      </c>
      <c r="AK26" s="6">
        <f>V26/$Z26</f>
        <v>0.1</v>
      </c>
      <c r="AL26" s="6"/>
      <c r="AM26" s="6">
        <f>X26/$Z26</f>
        <v>0.2</v>
      </c>
      <c r="AN26" s="6">
        <f>Y26/$Z26</f>
        <v>0.3</v>
      </c>
      <c r="AO26" s="6">
        <f>Z26/$Z26</f>
        <v>1</v>
      </c>
      <c r="AP26" s="22"/>
    </row>
    <row r="27" spans="1:43" x14ac:dyDescent="0.55000000000000004">
      <c r="A27">
        <f t="shared" ref="A27:A41" si="11">A4</f>
        <v>2000</v>
      </c>
      <c r="B27" s="2">
        <f>B26*(1+(B4/100))</f>
        <v>18188</v>
      </c>
      <c r="C27" s="2"/>
      <c r="D27" s="2">
        <f>D26*(1+(D4/100))</f>
        <v>23619.599999999999</v>
      </c>
      <c r="E27" s="2">
        <f>E26*(1+(E4/100))</f>
        <v>9733.5</v>
      </c>
      <c r="F27" s="2"/>
      <c r="G27" s="2">
        <f>G26*(1+(G4/100))</f>
        <v>16877.2</v>
      </c>
      <c r="H27" s="2">
        <f>H26*(1+(H4/100))</f>
        <v>33417</v>
      </c>
      <c r="I27" s="2">
        <f>SUM(B27:H27)</f>
        <v>101835.3</v>
      </c>
      <c r="J27" s="2">
        <f>I27-I26</f>
        <v>1835.3000000000029</v>
      </c>
      <c r="K27" s="6">
        <f>(J27/I26)</f>
        <v>1.8353000000000029E-2</v>
      </c>
      <c r="L27" s="7">
        <f>K27+1</f>
        <v>1.0183530000000001</v>
      </c>
      <c r="N27">
        <f>A27</f>
        <v>2000</v>
      </c>
      <c r="O27" s="2">
        <f>I27*0.04</f>
        <v>4073.4120000000003</v>
      </c>
      <c r="P27" s="2"/>
      <c r="Q27" s="2"/>
      <c r="R27">
        <f>A27</f>
        <v>2000</v>
      </c>
      <c r="S27" s="2">
        <f t="shared" ref="S27:S38" si="12">B27-($O27/5)</f>
        <v>17373.317599999998</v>
      </c>
      <c r="T27" s="2"/>
      <c r="U27" s="2">
        <f t="shared" ref="U27:U38" si="13">D27-($O27/5)</f>
        <v>22804.917599999997</v>
      </c>
      <c r="V27" s="2">
        <f t="shared" ref="V27:V38" si="14">E27-($O27/5)</f>
        <v>8918.8176000000003</v>
      </c>
      <c r="W27" s="2"/>
      <c r="X27" s="2">
        <f t="shared" ref="X27:X38" si="15">G27-($O27/5)</f>
        <v>16062.517600000001</v>
      </c>
      <c r="Y27" s="2">
        <f t="shared" ref="Y27:Y38" si="16">H27-($O27/5)</f>
        <v>32602.317599999998</v>
      </c>
      <c r="Z27" s="2">
        <f t="shared" ref="Z27:Z38" si="17">SUM(S27:Y27)</f>
        <v>97761.887999999992</v>
      </c>
      <c r="AA27" s="2">
        <f>Z27-Z26</f>
        <v>-2238.1120000000083</v>
      </c>
      <c r="AB27" s="6">
        <f>(AA27/Z26)</f>
        <v>-2.2381120000000084E-2</v>
      </c>
      <c r="AC27" s="7">
        <f>AB27+1</f>
        <v>0.97761887999999997</v>
      </c>
      <c r="AD27" s="2">
        <f>Z27-(I27-O27)</f>
        <v>0</v>
      </c>
      <c r="AE27" s="2"/>
      <c r="AG27">
        <f>A27</f>
        <v>2000</v>
      </c>
      <c r="AH27" s="6">
        <f>S27/$Z27</f>
        <v>0.17771053685051583</v>
      </c>
      <c r="AI27" s="6"/>
      <c r="AJ27" s="6">
        <f>U27/$Z27</f>
        <v>0.23327002031711988</v>
      </c>
      <c r="AK27" s="6">
        <f>V27/$Z27</f>
        <v>9.1230005705290815E-2</v>
      </c>
      <c r="AL27" s="6"/>
      <c r="AM27" s="6">
        <f>X27/$Z27</f>
        <v>0.16430244882341064</v>
      </c>
      <c r="AN27" s="6">
        <f>Y27/$Z27</f>
        <v>0.33348698830366291</v>
      </c>
      <c r="AO27" s="6">
        <f>SUM(AH27:AN27)</f>
        <v>1</v>
      </c>
      <c r="AP27" s="7">
        <f>SUM(AH27:AM27)</f>
        <v>0.66651301169633714</v>
      </c>
      <c r="AQ27" s="7">
        <f>AO27-(AP27+AN27)</f>
        <v>0</v>
      </c>
    </row>
    <row r="28" spans="1:43" x14ac:dyDescent="0.55000000000000004">
      <c r="A28">
        <f t="shared" si="11"/>
        <v>2001</v>
      </c>
      <c r="B28" s="2">
        <f t="shared" ref="B28:B41" si="18">S27*(1+(B5/100))</f>
        <v>15285.044824479999</v>
      </c>
      <c r="C28" s="2"/>
      <c r="D28" s="2">
        <f t="shared" ref="D28:D39" si="19">U27*(1+(D5/100))</f>
        <v>22691.121061175996</v>
      </c>
      <c r="E28" s="2">
        <f t="shared" ref="E28:E39" si="20">V27*(1+(E5/100))</f>
        <v>9195.3009456</v>
      </c>
      <c r="F28" s="2"/>
      <c r="G28" s="2">
        <f t="shared" ref="G28:G41" si="21">G27*(1+(G5/100))</f>
        <v>13475.937884000001</v>
      </c>
      <c r="H28" s="2">
        <f t="shared" ref="H28:H41" si="22">Y27*(1+(H5/100))</f>
        <v>35350.692973680001</v>
      </c>
      <c r="I28" s="2">
        <f t="shared" ref="I28:I39" si="23">SUM(B28:H28)</f>
        <v>95998.097688935988</v>
      </c>
      <c r="J28" s="2">
        <f t="shared" ref="J28:J39" si="24">I28-I27</f>
        <v>-5837.2023110640148</v>
      </c>
      <c r="K28" s="6">
        <f t="shared" ref="K28:K39" si="25">(J28/I27)</f>
        <v>-5.7320028625280378E-2</v>
      </c>
      <c r="L28" s="7">
        <f t="shared" ref="L28:L39" si="26">K28+1</f>
        <v>0.94267997137471959</v>
      </c>
      <c r="N28">
        <f t="shared" ref="N28:N39" si="27">A28</f>
        <v>2001</v>
      </c>
      <c r="O28" s="2">
        <f t="shared" ref="O28:O41" si="28">O27*(1+O5)</f>
        <v>4138.5865920000006</v>
      </c>
      <c r="P28" s="2"/>
      <c r="Q28" s="2"/>
      <c r="R28">
        <f t="shared" ref="R28:R35" si="29">A28</f>
        <v>2001</v>
      </c>
      <c r="S28" s="2">
        <f t="shared" si="12"/>
        <v>14457.327506079999</v>
      </c>
      <c r="T28" s="2"/>
      <c r="U28" s="2">
        <f t="shared" si="13"/>
        <v>21863.403742775998</v>
      </c>
      <c r="V28" s="2">
        <f t="shared" si="14"/>
        <v>8367.5836271999997</v>
      </c>
      <c r="W28" s="2"/>
      <c r="X28" s="2">
        <f t="shared" si="15"/>
        <v>12648.220565600001</v>
      </c>
      <c r="Y28" s="2">
        <f t="shared" si="16"/>
        <v>34522.975655280003</v>
      </c>
      <c r="Z28" s="2">
        <f t="shared" si="17"/>
        <v>91859.51109693601</v>
      </c>
      <c r="AA28" s="2">
        <f t="shared" ref="AA28:AA39" si="30">Z28-Z27</f>
        <v>-5902.3769030639814</v>
      </c>
      <c r="AB28" s="6">
        <f t="shared" ref="AB28:AB39" si="31">(AA28/Z27)</f>
        <v>-6.037502981800006E-2</v>
      </c>
      <c r="AC28" s="7">
        <f t="shared" ref="AC28:AC39" si="32">AB28+1</f>
        <v>0.93962497018199997</v>
      </c>
      <c r="AD28" s="2">
        <f t="shared" ref="AD28:AD39" si="33">Z28-(I28-O28)</f>
        <v>0</v>
      </c>
      <c r="AE28" s="2"/>
      <c r="AG28">
        <f t="shared" ref="AG28:AG39" si="34">A28</f>
        <v>2001</v>
      </c>
      <c r="AH28" s="6">
        <f t="shared" ref="AH28:AM39" si="35">S28/$Z28</f>
        <v>0.15738519978430654</v>
      </c>
      <c r="AI28" s="6"/>
      <c r="AJ28" s="6">
        <f t="shared" si="35"/>
        <v>0.2380091455059492</v>
      </c>
      <c r="AK28" s="6">
        <f t="shared" si="35"/>
        <v>9.1091096907428476E-2</v>
      </c>
      <c r="AL28" s="6"/>
      <c r="AM28" s="6">
        <f t="shared" si="35"/>
        <v>0.13769091969423605</v>
      </c>
      <c r="AN28" s="6">
        <f t="shared" ref="AN28:AN39" si="36">Y28/$Z28</f>
        <v>0.37582363810807962</v>
      </c>
      <c r="AO28" s="6">
        <f t="shared" ref="AO28:AO39" si="37">SUM(AH28:AN28)</f>
        <v>0.99999999999999989</v>
      </c>
      <c r="AP28" s="7">
        <f t="shared" ref="AP28:AP39" si="38">SUM(AH28:AM28)</f>
        <v>0.62417636189192027</v>
      </c>
      <c r="AQ28" s="7">
        <f t="shared" ref="AQ28:AQ39" si="39">AO28-(AP28+AN28)</f>
        <v>0</v>
      </c>
    </row>
    <row r="29" spans="1:43" x14ac:dyDescent="0.55000000000000004">
      <c r="A29">
        <f t="shared" si="11"/>
        <v>2002</v>
      </c>
      <c r="B29" s="2">
        <f t="shared" si="18"/>
        <v>11255.029463483279</v>
      </c>
      <c r="C29" s="2"/>
      <c r="D29" s="2">
        <f t="shared" si="19"/>
        <v>18669.597724031279</v>
      </c>
      <c r="E29" s="2">
        <f t="shared" si="20"/>
        <v>6692.2260333620161</v>
      </c>
      <c r="F29" s="2"/>
      <c r="G29" s="2">
        <f t="shared" si="21"/>
        <v>11443.36217295628</v>
      </c>
      <c r="H29" s="2">
        <f t="shared" si="22"/>
        <v>37374.573444406131</v>
      </c>
      <c r="I29" s="2">
        <f t="shared" ref="I29:I35" si="40">SUM(B29:H29)</f>
        <v>85434.788838238979</v>
      </c>
      <c r="J29" s="2">
        <f t="shared" si="24"/>
        <v>-10563.308850697009</v>
      </c>
      <c r="K29" s="6">
        <f t="shared" si="25"/>
        <v>-0.11003664765238838</v>
      </c>
      <c r="L29" s="7">
        <f t="shared" si="26"/>
        <v>0.88996335234761159</v>
      </c>
      <c r="N29">
        <f t="shared" si="27"/>
        <v>2002</v>
      </c>
      <c r="O29" s="2">
        <f t="shared" si="28"/>
        <v>4242.0512568000004</v>
      </c>
      <c r="P29" s="2"/>
      <c r="Q29" s="2"/>
      <c r="R29">
        <f t="shared" si="29"/>
        <v>2002</v>
      </c>
      <c r="S29" s="2">
        <f t="shared" si="12"/>
        <v>10406.619212123278</v>
      </c>
      <c r="T29" s="2"/>
      <c r="U29" s="2">
        <f t="shared" si="13"/>
        <v>17821.187472671278</v>
      </c>
      <c r="V29" s="2">
        <f t="shared" si="14"/>
        <v>5843.815782002016</v>
      </c>
      <c r="W29" s="2"/>
      <c r="X29" s="2">
        <f t="shared" si="15"/>
        <v>10594.951921596279</v>
      </c>
      <c r="Y29" s="2">
        <f t="shared" si="16"/>
        <v>36526.16319304613</v>
      </c>
      <c r="Z29" s="2">
        <f t="shared" si="17"/>
        <v>81192.737581438982</v>
      </c>
      <c r="AA29" s="2">
        <f t="shared" si="30"/>
        <v>-10666.773515497029</v>
      </c>
      <c r="AB29" s="6">
        <f t="shared" si="31"/>
        <v>-0.11612051259711985</v>
      </c>
      <c r="AC29" s="7">
        <f t="shared" si="32"/>
        <v>0.88387948740288014</v>
      </c>
      <c r="AD29" s="2">
        <f t="shared" si="33"/>
        <v>0</v>
      </c>
      <c r="AE29" s="2"/>
      <c r="AG29">
        <f t="shared" si="34"/>
        <v>2002</v>
      </c>
      <c r="AH29" s="6">
        <f t="shared" si="35"/>
        <v>0.12817179863759487</v>
      </c>
      <c r="AI29" s="6"/>
      <c r="AJ29" s="6">
        <f t="shared" si="35"/>
        <v>0.21949238322942421</v>
      </c>
      <c r="AK29" s="6">
        <f t="shared" si="35"/>
        <v>7.1974611967486335E-2</v>
      </c>
      <c r="AL29" s="6"/>
      <c r="AM29" s="6">
        <f t="shared" si="35"/>
        <v>0.13049137444059197</v>
      </c>
      <c r="AN29" s="6">
        <f t="shared" si="36"/>
        <v>0.44986983172490258</v>
      </c>
      <c r="AO29" s="6">
        <f t="shared" si="37"/>
        <v>1</v>
      </c>
      <c r="AP29" s="7">
        <f t="shared" si="38"/>
        <v>0.55013016827509742</v>
      </c>
      <c r="AQ29" s="7">
        <f t="shared" si="39"/>
        <v>0</v>
      </c>
    </row>
    <row r="30" spans="1:43" x14ac:dyDescent="0.55000000000000004">
      <c r="A30">
        <f t="shared" si="11"/>
        <v>2003</v>
      </c>
      <c r="B30" s="2">
        <f t="shared" si="18"/>
        <v>13372.505687578412</v>
      </c>
      <c r="C30" s="2"/>
      <c r="D30" s="2">
        <f t="shared" si="19"/>
        <v>23905.697299590705</v>
      </c>
      <c r="E30" s="2">
        <f t="shared" si="20"/>
        <v>8510.2320470138966</v>
      </c>
      <c r="F30" s="2"/>
      <c r="G30" s="2">
        <f t="shared" si="21"/>
        <v>16059.614473526843</v>
      </c>
      <c r="H30" s="2">
        <f t="shared" si="22"/>
        <v>37976.251871810062</v>
      </c>
      <c r="I30" s="2">
        <f t="shared" si="40"/>
        <v>99824.301379519922</v>
      </c>
      <c r="J30" s="2">
        <f t="shared" si="24"/>
        <v>14389.512541280943</v>
      </c>
      <c r="K30" s="6">
        <f t="shared" si="25"/>
        <v>0.16842685206989674</v>
      </c>
      <c r="L30" s="7">
        <f t="shared" si="26"/>
        <v>1.1684268520698968</v>
      </c>
      <c r="N30">
        <f t="shared" si="27"/>
        <v>2003</v>
      </c>
      <c r="O30" s="2">
        <f t="shared" si="28"/>
        <v>4326.8922819360005</v>
      </c>
      <c r="P30" s="2"/>
      <c r="Q30" s="2"/>
      <c r="R30">
        <f t="shared" si="29"/>
        <v>2003</v>
      </c>
      <c r="S30" s="2">
        <f t="shared" si="12"/>
        <v>12507.127231191213</v>
      </c>
      <c r="T30" s="2"/>
      <c r="U30" s="2">
        <f t="shared" si="13"/>
        <v>23040.318843203506</v>
      </c>
      <c r="V30" s="2">
        <f t="shared" si="14"/>
        <v>7644.8535906266961</v>
      </c>
      <c r="W30" s="2"/>
      <c r="X30" s="2">
        <f t="shared" si="15"/>
        <v>15194.236017139643</v>
      </c>
      <c r="Y30" s="2">
        <f t="shared" si="16"/>
        <v>37110.873415422859</v>
      </c>
      <c r="Z30" s="2">
        <f t="shared" si="17"/>
        <v>95497.409097583921</v>
      </c>
      <c r="AA30" s="2">
        <f t="shared" si="30"/>
        <v>14304.671516144939</v>
      </c>
      <c r="AB30" s="6">
        <f t="shared" si="31"/>
        <v>0.17618166282171338</v>
      </c>
      <c r="AC30" s="7">
        <f t="shared" si="32"/>
        <v>1.1761816628217134</v>
      </c>
      <c r="AD30" s="2">
        <f t="shared" si="33"/>
        <v>0</v>
      </c>
      <c r="AE30" s="2"/>
      <c r="AG30">
        <f t="shared" si="34"/>
        <v>2003</v>
      </c>
      <c r="AH30" s="6">
        <f t="shared" si="35"/>
        <v>0.13096823620011322</v>
      </c>
      <c r="AI30" s="6"/>
      <c r="AJ30" s="6">
        <f t="shared" si="35"/>
        <v>0.24126642870132509</v>
      </c>
      <c r="AK30" s="6">
        <f t="shared" si="35"/>
        <v>8.0052994765698937E-2</v>
      </c>
      <c r="AL30" s="6"/>
      <c r="AM30" s="6">
        <f t="shared" si="35"/>
        <v>0.15910626435543848</v>
      </c>
      <c r="AN30" s="6">
        <f t="shared" si="36"/>
        <v>0.38860607597742419</v>
      </c>
      <c r="AO30" s="6">
        <f t="shared" si="37"/>
        <v>1</v>
      </c>
      <c r="AP30" s="7">
        <f t="shared" si="38"/>
        <v>0.61139392402257575</v>
      </c>
      <c r="AQ30" s="7">
        <f t="shared" si="39"/>
        <v>0</v>
      </c>
    </row>
    <row r="31" spans="1:43" x14ac:dyDescent="0.55000000000000004">
      <c r="A31">
        <f t="shared" si="11"/>
        <v>2004</v>
      </c>
      <c r="B31" s="2">
        <f t="shared" si="18"/>
        <v>13850.392695821149</v>
      </c>
      <c r="C31" s="2"/>
      <c r="D31" s="2">
        <f t="shared" si="19"/>
        <v>27729.714937360714</v>
      </c>
      <c r="E31" s="2">
        <f t="shared" si="20"/>
        <v>9165.9501095536907</v>
      </c>
      <c r="F31" s="2"/>
      <c r="G31" s="2">
        <f t="shared" si="21"/>
        <v>19405.95634137563</v>
      </c>
      <c r="H31" s="2">
        <f t="shared" si="22"/>
        <v>38684.374448236791</v>
      </c>
      <c r="I31" s="2">
        <f t="shared" si="40"/>
        <v>108836.38853234798</v>
      </c>
      <c r="J31" s="2">
        <f t="shared" si="24"/>
        <v>9012.087152828055</v>
      </c>
      <c r="K31" s="6">
        <f t="shared" si="25"/>
        <v>9.0279491349157456E-2</v>
      </c>
      <c r="L31" s="7">
        <f t="shared" si="26"/>
        <v>1.0902794913491574</v>
      </c>
      <c r="N31">
        <f t="shared" si="27"/>
        <v>2004</v>
      </c>
      <c r="O31" s="2">
        <f t="shared" si="28"/>
        <v>4469.6797272398881</v>
      </c>
      <c r="P31" s="2"/>
      <c r="Q31" s="2"/>
      <c r="R31">
        <f t="shared" si="29"/>
        <v>2004</v>
      </c>
      <c r="S31" s="2">
        <f t="shared" si="12"/>
        <v>12956.456750373171</v>
      </c>
      <c r="T31" s="2"/>
      <c r="U31" s="2">
        <f t="shared" si="13"/>
        <v>26835.778991912735</v>
      </c>
      <c r="V31" s="2">
        <f t="shared" si="14"/>
        <v>8272.0141641057126</v>
      </c>
      <c r="W31" s="2"/>
      <c r="X31" s="2">
        <f t="shared" si="15"/>
        <v>18512.020395927651</v>
      </c>
      <c r="Y31" s="2">
        <f t="shared" si="16"/>
        <v>37790.438502788813</v>
      </c>
      <c r="Z31" s="2">
        <f t="shared" si="17"/>
        <v>104366.70880510809</v>
      </c>
      <c r="AA31" s="2">
        <f t="shared" si="30"/>
        <v>8869.2997075241728</v>
      </c>
      <c r="AB31" s="6">
        <f t="shared" si="31"/>
        <v>9.287476792654227E-2</v>
      </c>
      <c r="AC31" s="7">
        <f t="shared" si="32"/>
        <v>1.0928747679265423</v>
      </c>
      <c r="AD31" s="2">
        <f t="shared" si="33"/>
        <v>0</v>
      </c>
      <c r="AE31" s="2"/>
      <c r="AG31">
        <f t="shared" si="34"/>
        <v>2004</v>
      </c>
      <c r="AH31" s="6">
        <f t="shared" si="35"/>
        <v>0.12414357891238814</v>
      </c>
      <c r="AI31" s="6"/>
      <c r="AJ31" s="6">
        <f t="shared" si="35"/>
        <v>0.25712968531014263</v>
      </c>
      <c r="AK31" s="6">
        <f t="shared" si="35"/>
        <v>7.9259126390127665E-2</v>
      </c>
      <c r="AL31" s="6"/>
      <c r="AM31" s="6">
        <f t="shared" si="35"/>
        <v>0.17737476449982301</v>
      </c>
      <c r="AN31" s="6">
        <f t="shared" si="36"/>
        <v>0.36209284488751847</v>
      </c>
      <c r="AO31" s="6">
        <f t="shared" si="37"/>
        <v>0.99999999999999989</v>
      </c>
      <c r="AP31" s="7">
        <f t="shared" si="38"/>
        <v>0.63790715511248142</v>
      </c>
      <c r="AQ31" s="7">
        <f t="shared" si="39"/>
        <v>0</v>
      </c>
    </row>
    <row r="32" spans="1:43" x14ac:dyDescent="0.55000000000000004">
      <c r="A32">
        <f t="shared" si="11"/>
        <v>2005</v>
      </c>
      <c r="B32" s="2">
        <f t="shared" si="18"/>
        <v>13574.479737365971</v>
      </c>
      <c r="C32" s="2"/>
      <c r="D32" s="2">
        <f t="shared" si="19"/>
        <v>30574.271363276101</v>
      </c>
      <c r="E32" s="2">
        <f t="shared" si="20"/>
        <v>8881.0825670088161</v>
      </c>
      <c r="F32" s="2"/>
      <c r="G32" s="2">
        <f t="shared" si="21"/>
        <v>22427.657803291229</v>
      </c>
      <c r="H32" s="2">
        <f t="shared" si="22"/>
        <v>38697.409026855748</v>
      </c>
      <c r="I32" s="2">
        <f t="shared" si="40"/>
        <v>114154.90049779786</v>
      </c>
      <c r="J32" s="2">
        <f t="shared" si="24"/>
        <v>5318.5119654498849</v>
      </c>
      <c r="K32" s="6">
        <f t="shared" si="25"/>
        <v>4.8867038287191376E-2</v>
      </c>
      <c r="L32" s="7">
        <f t="shared" si="26"/>
        <v>1.0488670382871914</v>
      </c>
      <c r="N32">
        <f t="shared" si="27"/>
        <v>2005</v>
      </c>
      <c r="O32" s="2">
        <f t="shared" si="28"/>
        <v>4617.1791582388041</v>
      </c>
      <c r="P32" s="2"/>
      <c r="Q32" s="2"/>
      <c r="R32">
        <f t="shared" si="29"/>
        <v>2005</v>
      </c>
      <c r="S32" s="2">
        <f t="shared" si="12"/>
        <v>12651.04390571821</v>
      </c>
      <c r="T32" s="2"/>
      <c r="U32" s="2">
        <f t="shared" si="13"/>
        <v>29650.835531628341</v>
      </c>
      <c r="V32" s="2">
        <f t="shared" si="14"/>
        <v>7957.6467353610551</v>
      </c>
      <c r="W32" s="2"/>
      <c r="X32" s="2">
        <f t="shared" si="15"/>
        <v>21504.22197164347</v>
      </c>
      <c r="Y32" s="2">
        <f t="shared" si="16"/>
        <v>37773.973195207989</v>
      </c>
      <c r="Z32" s="2">
        <f t="shared" si="17"/>
        <v>109537.72133955907</v>
      </c>
      <c r="AA32" s="2">
        <f t="shared" si="30"/>
        <v>5171.0125344509725</v>
      </c>
      <c r="AB32" s="6">
        <f t="shared" si="31"/>
        <v>4.954657087162917E-2</v>
      </c>
      <c r="AC32" s="7">
        <f t="shared" si="32"/>
        <v>1.0495465708716292</v>
      </c>
      <c r="AD32" s="2">
        <f t="shared" si="33"/>
        <v>0</v>
      </c>
      <c r="AE32" s="2"/>
      <c r="AG32">
        <f t="shared" si="34"/>
        <v>2005</v>
      </c>
      <c r="AH32" s="6">
        <f t="shared" si="35"/>
        <v>0.11549486104883343</v>
      </c>
      <c r="AI32" s="6"/>
      <c r="AJ32" s="6">
        <f t="shared" si="35"/>
        <v>0.2706906366959459</v>
      </c>
      <c r="AK32" s="6">
        <f t="shared" si="35"/>
        <v>7.2647546781559588E-2</v>
      </c>
      <c r="AL32" s="6"/>
      <c r="AM32" s="6">
        <f t="shared" si="35"/>
        <v>0.19631795977371053</v>
      </c>
      <c r="AN32" s="6">
        <f t="shared" si="36"/>
        <v>0.34484899569995059</v>
      </c>
      <c r="AO32" s="6">
        <f t="shared" si="37"/>
        <v>1</v>
      </c>
      <c r="AP32" s="7">
        <f t="shared" si="38"/>
        <v>0.65515100430004947</v>
      </c>
      <c r="AQ32" s="7">
        <f t="shared" si="39"/>
        <v>0</v>
      </c>
    </row>
    <row r="33" spans="1:43" x14ac:dyDescent="0.55000000000000004">
      <c r="A33">
        <f t="shared" si="11"/>
        <v>2006</v>
      </c>
      <c r="B33" s="2">
        <f t="shared" si="18"/>
        <v>14629.667172572539</v>
      </c>
      <c r="C33" s="2"/>
      <c r="D33" s="2">
        <f t="shared" si="19"/>
        <v>33682.459638863846</v>
      </c>
      <c r="E33" s="2">
        <f t="shared" si="20"/>
        <v>9203.4959082491823</v>
      </c>
      <c r="F33" s="2"/>
      <c r="G33" s="2">
        <f t="shared" si="21"/>
        <v>28401.713012353914</v>
      </c>
      <c r="H33" s="2">
        <f t="shared" si="22"/>
        <v>39386.921850643368</v>
      </c>
      <c r="I33" s="2">
        <f t="shared" si="40"/>
        <v>125304.25758268285</v>
      </c>
      <c r="J33" s="2">
        <f t="shared" si="24"/>
        <v>11149.357084884992</v>
      </c>
      <c r="K33" s="6">
        <f t="shared" si="25"/>
        <v>9.7668668066510839E-2</v>
      </c>
      <c r="L33" s="7">
        <f t="shared" si="26"/>
        <v>1.0976686680665109</v>
      </c>
      <c r="N33">
        <f t="shared" si="27"/>
        <v>2006</v>
      </c>
      <c r="O33" s="2">
        <f t="shared" si="28"/>
        <v>4732.608637194774</v>
      </c>
      <c r="P33" s="2"/>
      <c r="Q33" s="2"/>
      <c r="R33">
        <f t="shared" si="29"/>
        <v>2006</v>
      </c>
      <c r="S33" s="2">
        <f t="shared" si="12"/>
        <v>13683.145445133585</v>
      </c>
      <c r="T33" s="2"/>
      <c r="U33" s="2">
        <f t="shared" si="13"/>
        <v>32735.937911424891</v>
      </c>
      <c r="V33" s="2">
        <f t="shared" si="14"/>
        <v>8256.9741808102281</v>
      </c>
      <c r="W33" s="2"/>
      <c r="X33" s="2">
        <f t="shared" si="15"/>
        <v>27455.191284914959</v>
      </c>
      <c r="Y33" s="2">
        <f t="shared" si="16"/>
        <v>38440.40012320441</v>
      </c>
      <c r="Z33" s="2">
        <f t="shared" si="17"/>
        <v>120571.64894548808</v>
      </c>
      <c r="AA33" s="2">
        <f t="shared" si="30"/>
        <v>11033.927605929013</v>
      </c>
      <c r="AB33" s="6">
        <f t="shared" si="31"/>
        <v>0.10073176136031377</v>
      </c>
      <c r="AC33" s="7">
        <f t="shared" si="32"/>
        <v>1.1007317613603138</v>
      </c>
      <c r="AD33" s="2">
        <f t="shared" si="33"/>
        <v>0</v>
      </c>
      <c r="AE33" s="2"/>
      <c r="AG33">
        <f t="shared" si="34"/>
        <v>2006</v>
      </c>
      <c r="AH33" s="6">
        <f t="shared" si="35"/>
        <v>0.11348559603194863</v>
      </c>
      <c r="AI33" s="6"/>
      <c r="AJ33" s="6">
        <f t="shared" si="35"/>
        <v>0.27150609780766299</v>
      </c>
      <c r="AK33" s="6">
        <f t="shared" si="35"/>
        <v>6.8481888180390624E-2</v>
      </c>
      <c r="AL33" s="6"/>
      <c r="AM33" s="6">
        <f t="shared" si="35"/>
        <v>0.2277085162642819</v>
      </c>
      <c r="AN33" s="6">
        <f t="shared" si="36"/>
        <v>0.31881790171571583</v>
      </c>
      <c r="AO33" s="6">
        <f t="shared" si="37"/>
        <v>1</v>
      </c>
      <c r="AP33" s="7">
        <f t="shared" si="38"/>
        <v>0.68118209828428422</v>
      </c>
      <c r="AQ33" s="7">
        <f t="shared" si="39"/>
        <v>0</v>
      </c>
    </row>
    <row r="34" spans="1:43" x14ac:dyDescent="0.55000000000000004">
      <c r="A34">
        <f t="shared" si="11"/>
        <v>2007</v>
      </c>
      <c r="B34" s="2">
        <f t="shared" si="18"/>
        <v>14420.666984626287</v>
      </c>
      <c r="C34" s="2"/>
      <c r="D34" s="2">
        <f t="shared" si="19"/>
        <v>34706.968733071786</v>
      </c>
      <c r="E34" s="2">
        <f t="shared" si="20"/>
        <v>8352.4248023403943</v>
      </c>
      <c r="F34" s="2"/>
      <c r="G34" s="2">
        <f t="shared" si="21"/>
        <v>32810.226906131487</v>
      </c>
      <c r="H34" s="2">
        <f t="shared" si="22"/>
        <v>41100.475811730154</v>
      </c>
      <c r="I34" s="2">
        <f t="shared" si="40"/>
        <v>131390.7632379001</v>
      </c>
      <c r="J34" s="2">
        <f t="shared" si="24"/>
        <v>6086.5056552172464</v>
      </c>
      <c r="K34" s="6">
        <f t="shared" si="25"/>
        <v>4.8573813632797155E-2</v>
      </c>
      <c r="L34" s="7">
        <f t="shared" si="26"/>
        <v>1.0485738136327971</v>
      </c>
      <c r="N34">
        <f t="shared" si="27"/>
        <v>2007</v>
      </c>
      <c r="O34" s="2">
        <f t="shared" si="28"/>
        <v>4926.6455913197597</v>
      </c>
      <c r="P34" s="2"/>
      <c r="Q34" s="2"/>
      <c r="R34">
        <f t="shared" si="29"/>
        <v>2007</v>
      </c>
      <c r="S34" s="2">
        <f t="shared" si="12"/>
        <v>13435.337866362335</v>
      </c>
      <c r="T34" s="2"/>
      <c r="U34" s="2">
        <f t="shared" si="13"/>
        <v>33721.639614807835</v>
      </c>
      <c r="V34" s="2">
        <f t="shared" si="14"/>
        <v>7367.095684076442</v>
      </c>
      <c r="W34" s="2"/>
      <c r="X34" s="2">
        <f t="shared" si="15"/>
        <v>31824.897787867536</v>
      </c>
      <c r="Y34" s="2">
        <f t="shared" si="16"/>
        <v>40115.146693466202</v>
      </c>
      <c r="Z34" s="2">
        <f t="shared" si="17"/>
        <v>126464.11764658036</v>
      </c>
      <c r="AA34" s="2">
        <f t="shared" si="30"/>
        <v>5892.4687010922789</v>
      </c>
      <c r="AB34" s="6">
        <f t="shared" si="31"/>
        <v>4.8871096585535928E-2</v>
      </c>
      <c r="AC34" s="7">
        <f t="shared" si="32"/>
        <v>1.0488710965855359</v>
      </c>
      <c r="AD34" s="2">
        <f t="shared" si="33"/>
        <v>0</v>
      </c>
      <c r="AE34" s="2"/>
      <c r="AG34">
        <f t="shared" si="34"/>
        <v>2007</v>
      </c>
      <c r="AH34" s="6">
        <f t="shared" si="35"/>
        <v>0.10623833950993949</v>
      </c>
      <c r="AI34" s="6"/>
      <c r="AJ34" s="6">
        <f t="shared" si="35"/>
        <v>0.26664986276223535</v>
      </c>
      <c r="AK34" s="6">
        <f t="shared" si="35"/>
        <v>5.8254434705856277E-2</v>
      </c>
      <c r="AL34" s="6"/>
      <c r="AM34" s="6">
        <f t="shared" si="35"/>
        <v>0.25165160189395502</v>
      </c>
      <c r="AN34" s="6">
        <f t="shared" si="36"/>
        <v>0.3172057611280138</v>
      </c>
      <c r="AO34" s="6">
        <f t="shared" si="37"/>
        <v>0.99999999999999989</v>
      </c>
      <c r="AP34" s="7">
        <f t="shared" si="38"/>
        <v>0.68279423887198609</v>
      </c>
      <c r="AQ34" s="7">
        <f t="shared" si="39"/>
        <v>0</v>
      </c>
    </row>
    <row r="35" spans="1:43" x14ac:dyDescent="0.55000000000000004">
      <c r="A35">
        <f t="shared" si="11"/>
        <v>2008</v>
      </c>
      <c r="B35" s="2">
        <f t="shared" si="18"/>
        <v>8461.5757882349972</v>
      </c>
      <c r="C35" s="2"/>
      <c r="D35" s="2">
        <f t="shared" si="19"/>
        <v>19617.901062310608</v>
      </c>
      <c r="E35" s="2">
        <f t="shared" si="20"/>
        <v>4709.7842708300695</v>
      </c>
      <c r="F35" s="2"/>
      <c r="G35" s="2">
        <f t="shared" si="21"/>
        <v>18340.588738258441</v>
      </c>
      <c r="H35" s="2">
        <f t="shared" si="22"/>
        <v>42140.961601486248</v>
      </c>
      <c r="I35" s="2">
        <f t="shared" si="40"/>
        <v>93270.811461120364</v>
      </c>
      <c r="J35" s="2">
        <f t="shared" si="24"/>
        <v>-38119.951776779737</v>
      </c>
      <c r="K35" s="6">
        <f t="shared" si="25"/>
        <v>-0.29012657235089345</v>
      </c>
      <c r="L35" s="7">
        <f t="shared" si="26"/>
        <v>0.70987342764910655</v>
      </c>
      <c r="N35">
        <f t="shared" si="27"/>
        <v>2008</v>
      </c>
      <c r="O35" s="2">
        <f t="shared" si="28"/>
        <v>4926.6455913197597</v>
      </c>
      <c r="P35" s="2"/>
      <c r="Q35" s="2"/>
      <c r="R35">
        <f t="shared" si="29"/>
        <v>2008</v>
      </c>
      <c r="S35" s="2">
        <f t="shared" si="12"/>
        <v>7476.2466699710449</v>
      </c>
      <c r="T35" s="2"/>
      <c r="U35" s="2">
        <f t="shared" si="13"/>
        <v>18632.571944046656</v>
      </c>
      <c r="V35" s="2">
        <f t="shared" si="14"/>
        <v>3724.4551525661177</v>
      </c>
      <c r="W35" s="2"/>
      <c r="X35" s="2">
        <f t="shared" si="15"/>
        <v>17355.259619994489</v>
      </c>
      <c r="Y35" s="2">
        <f t="shared" si="16"/>
        <v>41155.632483222296</v>
      </c>
      <c r="Z35" s="2">
        <f t="shared" si="17"/>
        <v>88344.165869800607</v>
      </c>
      <c r="AA35" s="2">
        <f t="shared" si="30"/>
        <v>-38119.951776779752</v>
      </c>
      <c r="AB35" s="6">
        <f t="shared" si="31"/>
        <v>-0.3014289941381687</v>
      </c>
      <c r="AC35" s="7">
        <f t="shared" si="32"/>
        <v>0.6985710058618313</v>
      </c>
      <c r="AD35" s="2">
        <f t="shared" si="33"/>
        <v>0</v>
      </c>
      <c r="AE35" s="2"/>
      <c r="AG35">
        <f t="shared" si="34"/>
        <v>2008</v>
      </c>
      <c r="AH35" s="6">
        <f t="shared" si="35"/>
        <v>8.4626376811224271E-2</v>
      </c>
      <c r="AI35" s="6"/>
      <c r="AJ35" s="6">
        <f t="shared" si="35"/>
        <v>0.21090891244031743</v>
      </c>
      <c r="AK35" s="6">
        <f t="shared" si="35"/>
        <v>4.2158473238121073E-2</v>
      </c>
      <c r="AL35" s="6"/>
      <c r="AM35" s="6">
        <f t="shared" si="35"/>
        <v>0.19645054598820064</v>
      </c>
      <c r="AN35" s="6">
        <f t="shared" si="36"/>
        <v>0.46585569152213657</v>
      </c>
      <c r="AO35" s="6">
        <f t="shared" si="37"/>
        <v>1</v>
      </c>
      <c r="AP35" s="7">
        <f t="shared" si="38"/>
        <v>0.53414430847786343</v>
      </c>
      <c r="AQ35" s="7">
        <f t="shared" si="39"/>
        <v>0</v>
      </c>
    </row>
    <row r="36" spans="1:43" x14ac:dyDescent="0.55000000000000004">
      <c r="A36">
        <f t="shared" si="11"/>
        <v>2009</v>
      </c>
      <c r="B36" s="2">
        <f t="shared" si="18"/>
        <v>9456.7044128463749</v>
      </c>
      <c r="C36" s="2"/>
      <c r="D36" s="2">
        <f t="shared" si="19"/>
        <v>26126.21972850334</v>
      </c>
      <c r="E36" s="2">
        <f t="shared" si="20"/>
        <v>5069.6538645699484</v>
      </c>
      <c r="F36" s="2"/>
      <c r="G36" s="2">
        <f t="shared" si="21"/>
        <v>25076.536764158616</v>
      </c>
      <c r="H36" s="2">
        <f t="shared" si="22"/>
        <v>43596.161489477374</v>
      </c>
      <c r="I36" s="2">
        <f t="shared" si="23"/>
        <v>109325.27625955566</v>
      </c>
      <c r="J36" s="2">
        <f t="shared" si="24"/>
        <v>16054.464798435292</v>
      </c>
      <c r="K36" s="6">
        <f t="shared" si="25"/>
        <v>0.17212742707966622</v>
      </c>
      <c r="L36" s="7">
        <f t="shared" si="26"/>
        <v>1.1721274270796662</v>
      </c>
      <c r="N36">
        <f t="shared" si="27"/>
        <v>2009</v>
      </c>
      <c r="O36" s="2">
        <f t="shared" si="28"/>
        <v>5064.5916678767135</v>
      </c>
      <c r="P36" s="2"/>
      <c r="Q36" s="2"/>
      <c r="R36">
        <f t="shared" ref="R36" si="41">A36</f>
        <v>2009</v>
      </c>
      <c r="S36" s="2">
        <f t="shared" si="12"/>
        <v>8443.7860792710326</v>
      </c>
      <c r="T36" s="2"/>
      <c r="U36" s="2">
        <f t="shared" si="13"/>
        <v>25113.301394927996</v>
      </c>
      <c r="V36" s="2">
        <f t="shared" si="14"/>
        <v>4056.7355309946056</v>
      </c>
      <c r="W36" s="2"/>
      <c r="X36" s="2">
        <f t="shared" si="15"/>
        <v>24063.618430583272</v>
      </c>
      <c r="Y36" s="2">
        <f t="shared" si="16"/>
        <v>42583.243155902033</v>
      </c>
      <c r="Z36" s="2">
        <f t="shared" si="17"/>
        <v>104260.68459167893</v>
      </c>
      <c r="AA36" s="2">
        <f t="shared" si="30"/>
        <v>15916.518721878325</v>
      </c>
      <c r="AB36" s="6">
        <f t="shared" si="31"/>
        <v>0.18016491032736318</v>
      </c>
      <c r="AC36" s="7">
        <f t="shared" si="32"/>
        <v>1.1801649103273633</v>
      </c>
      <c r="AD36" s="2">
        <f t="shared" si="33"/>
        <v>0</v>
      </c>
      <c r="AE36" s="2"/>
      <c r="AG36">
        <f t="shared" si="34"/>
        <v>2009</v>
      </c>
      <c r="AH36" s="6">
        <f t="shared" si="35"/>
        <v>8.0987249530729943E-2</v>
      </c>
      <c r="AI36" s="6"/>
      <c r="AJ36" s="6">
        <f t="shared" si="35"/>
        <v>0.2408702905920905</v>
      </c>
      <c r="AK36" s="6">
        <f t="shared" si="35"/>
        <v>3.8909542430899925E-2</v>
      </c>
      <c r="AL36" s="6"/>
      <c r="AM36" s="6">
        <f t="shared" si="35"/>
        <v>0.23080242111227989</v>
      </c>
      <c r="AN36" s="6">
        <f t="shared" si="36"/>
        <v>0.4084304963339998</v>
      </c>
      <c r="AO36" s="6">
        <f t="shared" si="37"/>
        <v>1</v>
      </c>
      <c r="AP36" s="7">
        <f t="shared" si="38"/>
        <v>0.59156950366600025</v>
      </c>
      <c r="AQ36" s="7">
        <f t="shared" si="39"/>
        <v>0</v>
      </c>
    </row>
    <row r="37" spans="1:43" x14ac:dyDescent="0.55000000000000004">
      <c r="A37">
        <f t="shared" si="11"/>
        <v>2010</v>
      </c>
      <c r="B37" s="2">
        <f t="shared" si="18"/>
        <v>9702.7545836903428</v>
      </c>
      <c r="C37" s="2"/>
      <c r="D37" s="2">
        <f t="shared" si="19"/>
        <v>31507.147930076662</v>
      </c>
      <c r="E37" s="2">
        <f t="shared" si="20"/>
        <v>5181.2626201863104</v>
      </c>
      <c r="F37" s="2"/>
      <c r="G37" s="2">
        <f t="shared" si="21"/>
        <v>27865.047652333054</v>
      </c>
      <c r="H37" s="2">
        <f t="shared" si="22"/>
        <v>45317.087366510947</v>
      </c>
      <c r="I37" s="2">
        <f t="shared" si="23"/>
        <v>119573.30015279731</v>
      </c>
      <c r="J37" s="2">
        <f t="shared" si="24"/>
        <v>10248.023893241654</v>
      </c>
      <c r="K37" s="6">
        <f t="shared" si="25"/>
        <v>9.3738833725068388E-2</v>
      </c>
      <c r="L37" s="7">
        <f t="shared" si="26"/>
        <v>1.0937388337250684</v>
      </c>
      <c r="N37">
        <f t="shared" si="27"/>
        <v>2010</v>
      </c>
      <c r="O37" s="2">
        <f t="shared" si="28"/>
        <v>5135.4959512269879</v>
      </c>
      <c r="P37" s="2"/>
      <c r="Q37" s="2"/>
      <c r="R37">
        <f t="shared" ref="R37:R39" si="42">A37</f>
        <v>2010</v>
      </c>
      <c r="S37" s="2">
        <f t="shared" si="12"/>
        <v>8675.6553934449457</v>
      </c>
      <c r="T37" s="2"/>
      <c r="U37" s="2">
        <f t="shared" si="13"/>
        <v>30480.048739831265</v>
      </c>
      <c r="V37" s="2">
        <f t="shared" si="14"/>
        <v>4154.1634299409125</v>
      </c>
      <c r="W37" s="2"/>
      <c r="X37" s="2">
        <f t="shared" si="15"/>
        <v>26837.948462087657</v>
      </c>
      <c r="Y37" s="2">
        <f t="shared" si="16"/>
        <v>44289.98817626555</v>
      </c>
      <c r="Z37" s="2">
        <f t="shared" si="17"/>
        <v>114437.80420157034</v>
      </c>
      <c r="AA37" s="2">
        <f t="shared" si="30"/>
        <v>10177.119609891408</v>
      </c>
      <c r="AB37" s="6">
        <f t="shared" si="31"/>
        <v>9.7612246166889696E-2</v>
      </c>
      <c r="AC37" s="7">
        <f t="shared" si="32"/>
        <v>1.0976122461668898</v>
      </c>
      <c r="AD37" s="2">
        <f t="shared" si="33"/>
        <v>0</v>
      </c>
      <c r="AE37" s="2"/>
      <c r="AG37">
        <f t="shared" si="34"/>
        <v>2010</v>
      </c>
      <c r="AH37" s="6">
        <f t="shared" si="35"/>
        <v>7.5811096289157012E-2</v>
      </c>
      <c r="AI37" s="6"/>
      <c r="AJ37" s="6">
        <f t="shared" si="35"/>
        <v>0.26634597677305843</v>
      </c>
      <c r="AK37" s="6">
        <f t="shared" si="35"/>
        <v>3.6300621625208605E-2</v>
      </c>
      <c r="AL37" s="7"/>
      <c r="AM37" s="6">
        <f t="shared" si="35"/>
        <v>0.23451995299398956</v>
      </c>
      <c r="AN37" s="6">
        <f t="shared" si="36"/>
        <v>0.38702235231858628</v>
      </c>
      <c r="AO37" s="6">
        <f t="shared" si="37"/>
        <v>0.99999999999999989</v>
      </c>
      <c r="AP37" s="7">
        <f t="shared" si="38"/>
        <v>0.61297764768141361</v>
      </c>
      <c r="AQ37" s="7">
        <f t="shared" si="39"/>
        <v>0</v>
      </c>
    </row>
    <row r="38" spans="1:43" x14ac:dyDescent="0.55000000000000004">
      <c r="A38">
        <f t="shared" si="11"/>
        <v>2011</v>
      </c>
      <c r="B38" s="2">
        <f t="shared" si="18"/>
        <v>8846.5658046958124</v>
      </c>
      <c r="C38" s="2"/>
      <c r="D38" s="2">
        <f t="shared" si="19"/>
        <v>29836.919711420825</v>
      </c>
      <c r="E38" s="2">
        <f t="shared" si="20"/>
        <v>4037.8468539025666</v>
      </c>
      <c r="F38" s="2"/>
      <c r="G38" s="2">
        <f t="shared" si="21"/>
        <v>23807.896714153361</v>
      </c>
      <c r="H38" s="2">
        <f t="shared" si="22"/>
        <v>47638.311282391231</v>
      </c>
      <c r="I38" s="2">
        <f t="shared" si="23"/>
        <v>114167.5403665638</v>
      </c>
      <c r="J38" s="2">
        <f t="shared" si="24"/>
        <v>-5405.7597862335097</v>
      </c>
      <c r="K38" s="6">
        <f t="shared" si="25"/>
        <v>-4.520875295175205E-2</v>
      </c>
      <c r="L38" s="7">
        <f t="shared" si="26"/>
        <v>0.95479124704824792</v>
      </c>
      <c r="N38">
        <f t="shared" si="27"/>
        <v>2011</v>
      </c>
      <c r="O38" s="2">
        <f t="shared" si="28"/>
        <v>5289.5608297637973</v>
      </c>
      <c r="P38" s="2"/>
      <c r="Q38" s="2"/>
      <c r="R38">
        <f t="shared" si="42"/>
        <v>2011</v>
      </c>
      <c r="S38" s="2">
        <f t="shared" si="12"/>
        <v>7788.6536387430533</v>
      </c>
      <c r="T38" s="2"/>
      <c r="U38" s="2">
        <f t="shared" si="13"/>
        <v>28779.007545468066</v>
      </c>
      <c r="V38" s="2">
        <f t="shared" si="14"/>
        <v>2979.9346879498071</v>
      </c>
      <c r="W38" s="2"/>
      <c r="X38" s="2">
        <f t="shared" si="15"/>
        <v>22749.984548200602</v>
      </c>
      <c r="Y38" s="2">
        <f t="shared" si="16"/>
        <v>46580.399116438472</v>
      </c>
      <c r="Z38" s="2">
        <f t="shared" si="17"/>
        <v>108877.97953680001</v>
      </c>
      <c r="AA38" s="2">
        <f t="shared" si="30"/>
        <v>-5559.8246647703345</v>
      </c>
      <c r="AB38" s="6">
        <f t="shared" si="31"/>
        <v>-4.8583811123964586E-2</v>
      </c>
      <c r="AC38" s="7">
        <f t="shared" si="32"/>
        <v>0.95141618887603541</v>
      </c>
      <c r="AD38" s="2">
        <f t="shared" si="33"/>
        <v>0</v>
      </c>
      <c r="AE38" s="2"/>
      <c r="AG38">
        <f t="shared" si="34"/>
        <v>2011</v>
      </c>
      <c r="AH38" s="6">
        <f t="shared" si="35"/>
        <v>7.1535618789753008E-2</v>
      </c>
      <c r="AI38" s="7"/>
      <c r="AJ38" s="6">
        <f t="shared" si="35"/>
        <v>0.26432349009324663</v>
      </c>
      <c r="AK38" s="6">
        <f t="shared" si="35"/>
        <v>2.7369489226631082E-2</v>
      </c>
      <c r="AL38" s="7"/>
      <c r="AM38" s="6">
        <f t="shared" si="35"/>
        <v>0.20894936372796361</v>
      </c>
      <c r="AN38" s="6">
        <f t="shared" si="36"/>
        <v>0.42782203816240566</v>
      </c>
      <c r="AO38" s="6">
        <f t="shared" si="37"/>
        <v>1</v>
      </c>
      <c r="AP38" s="7">
        <f t="shared" si="38"/>
        <v>0.57217796183759428</v>
      </c>
      <c r="AQ38" s="7">
        <f t="shared" si="39"/>
        <v>0</v>
      </c>
    </row>
    <row r="39" spans="1:43" x14ac:dyDescent="0.55000000000000004">
      <c r="A39">
        <f t="shared" si="11"/>
        <v>2012</v>
      </c>
      <c r="B39" s="2">
        <f t="shared" si="18"/>
        <v>9020.8186443922041</v>
      </c>
      <c r="C39" s="2"/>
      <c r="D39" s="2">
        <f t="shared" si="19"/>
        <v>33326.090737652019</v>
      </c>
      <c r="E39" s="2">
        <f t="shared" si="20"/>
        <v>3517.5149056559526</v>
      </c>
      <c r="F39" s="2"/>
      <c r="G39" s="2">
        <f t="shared" si="21"/>
        <v>28126.649178100783</v>
      </c>
      <c r="H39" s="2">
        <f t="shared" si="22"/>
        <v>48466.905280654231</v>
      </c>
      <c r="I39" s="2">
        <f t="shared" si="23"/>
        <v>122457.97874645519</v>
      </c>
      <c r="J39" s="2">
        <f t="shared" si="24"/>
        <v>8290.4383798913914</v>
      </c>
      <c r="K39" s="6">
        <f t="shared" si="25"/>
        <v>7.2616422787710411E-2</v>
      </c>
      <c r="L39" s="7">
        <f t="shared" si="26"/>
        <v>1.0726164227877104</v>
      </c>
      <c r="N39">
        <f t="shared" si="27"/>
        <v>2012</v>
      </c>
      <c r="O39" s="2">
        <f t="shared" si="28"/>
        <v>5384.7729246995459</v>
      </c>
      <c r="P39" s="2"/>
      <c r="Q39" s="2"/>
      <c r="R39">
        <f t="shared" si="42"/>
        <v>2012</v>
      </c>
      <c r="S39" s="2">
        <f t="shared" ref="S39" si="43">B39-($O39/5)</f>
        <v>7943.8640594522949</v>
      </c>
      <c r="T39" s="2"/>
      <c r="U39" s="2">
        <f t="shared" ref="U39" si="44">D39-($O39/5)</f>
        <v>32249.136152712112</v>
      </c>
      <c r="V39" s="2">
        <f t="shared" ref="V39" si="45">E39-($O39/5)</f>
        <v>2440.5603207160434</v>
      </c>
      <c r="W39" s="2"/>
      <c r="X39" s="2">
        <f t="shared" ref="X39" si="46">G39-($O39/5)</f>
        <v>27049.694593160872</v>
      </c>
      <c r="Y39" s="2">
        <f t="shared" ref="Y39" si="47">H39-($O39/5)</f>
        <v>47389.950695714324</v>
      </c>
      <c r="Z39" s="2">
        <f t="shared" ref="Z39" si="48">SUM(S39:Y39)</f>
        <v>117073.20582175566</v>
      </c>
      <c r="AA39" s="2">
        <f t="shared" si="30"/>
        <v>8195.2262849556573</v>
      </c>
      <c r="AB39" s="6">
        <f t="shared" si="31"/>
        <v>7.526982333636828E-2</v>
      </c>
      <c r="AC39" s="7">
        <f t="shared" si="32"/>
        <v>1.0752698233363682</v>
      </c>
      <c r="AD39" s="2">
        <f t="shared" si="33"/>
        <v>0</v>
      </c>
      <c r="AE39" s="2"/>
      <c r="AG39">
        <f t="shared" si="34"/>
        <v>2012</v>
      </c>
      <c r="AH39" s="6">
        <f t="shared" si="35"/>
        <v>6.7853818503499891E-2</v>
      </c>
      <c r="AI39" s="7"/>
      <c r="AJ39" s="6">
        <f t="shared" si="35"/>
        <v>0.27546128874109355</v>
      </c>
      <c r="AK39" s="6">
        <f t="shared" si="35"/>
        <v>2.0846446491196324E-2</v>
      </c>
      <c r="AL39" s="7"/>
      <c r="AM39" s="6">
        <f t="shared" si="35"/>
        <v>0.23104940539805599</v>
      </c>
      <c r="AN39" s="6">
        <f t="shared" si="36"/>
        <v>0.40478904086615408</v>
      </c>
      <c r="AO39" s="6">
        <f t="shared" si="37"/>
        <v>0.99999999999999989</v>
      </c>
      <c r="AP39" s="7">
        <f t="shared" si="38"/>
        <v>0.59521095913384581</v>
      </c>
      <c r="AQ39" s="7">
        <f t="shared" si="39"/>
        <v>0</v>
      </c>
    </row>
    <row r="40" spans="1:43" x14ac:dyDescent="0.55000000000000004">
      <c r="A40">
        <f t="shared" si="11"/>
        <v>2013</v>
      </c>
      <c r="B40" s="2">
        <f t="shared" si="18"/>
        <v>10500.199513784044</v>
      </c>
      <c r="C40" s="2"/>
      <c r="D40" s="2">
        <f t="shared" ref="D40:E40" si="49">U39*(1+(D17/100))</f>
        <v>43536.333806161354</v>
      </c>
      <c r="E40" s="2">
        <f t="shared" si="49"/>
        <v>3358.6991133694187</v>
      </c>
      <c r="F40" s="2"/>
      <c r="G40" s="2">
        <f t="shared" si="21"/>
        <v>32356.897214487137</v>
      </c>
      <c r="H40" s="2">
        <f t="shared" si="22"/>
        <v>46318.937809991185</v>
      </c>
      <c r="I40" s="2">
        <f t="shared" ref="I40:I41" si="50">SUM(B40:H40)</f>
        <v>136071.06745779313</v>
      </c>
      <c r="J40" s="2">
        <f t="shared" ref="J40:J41" si="51">I40-I39</f>
        <v>13613.088711337943</v>
      </c>
      <c r="K40" s="6">
        <f t="shared" ref="K40:K41" si="52">(J40/I39)</f>
        <v>0.11116538792072789</v>
      </c>
      <c r="L40" s="7">
        <f t="shared" ref="L40:L41" si="53">K40+1</f>
        <v>1.1111653879207279</v>
      </c>
      <c r="N40">
        <f t="shared" ref="N40:N41" si="54">A40</f>
        <v>2013</v>
      </c>
      <c r="O40" s="2">
        <f t="shared" si="28"/>
        <v>5446.9989139694262</v>
      </c>
      <c r="P40" s="2"/>
      <c r="Q40" s="2"/>
      <c r="R40">
        <f t="shared" ref="R40:R41" si="55">A40</f>
        <v>2013</v>
      </c>
      <c r="S40" s="2">
        <f t="shared" ref="S40:S41" si="56">B40-($O40/5)</f>
        <v>9410.7997309901584</v>
      </c>
      <c r="T40" s="2"/>
      <c r="U40" s="2">
        <f t="shared" ref="U40:U41" si="57">D40-($O40/5)</f>
        <v>42446.934023367467</v>
      </c>
      <c r="V40" s="2">
        <f t="shared" ref="V40:V41" si="58">E40-($O40/5)</f>
        <v>2269.2993305755335</v>
      </c>
      <c r="W40" s="2"/>
      <c r="X40" s="2">
        <f t="shared" ref="X40:X41" si="59">G40-($O40/5)</f>
        <v>31267.497431693253</v>
      </c>
      <c r="Y40" s="2">
        <f t="shared" ref="Y40:Y41" si="60">H40-($O40/5)</f>
        <v>45229.538027197297</v>
      </c>
      <c r="Z40" s="2">
        <f t="shared" ref="Z40:Z41" si="61">SUM(S40:Y40)</f>
        <v>130624.06854382371</v>
      </c>
      <c r="AA40" s="2">
        <f t="shared" ref="AA40:AA41" si="62">Z40-Z39</f>
        <v>13550.86272206805</v>
      </c>
      <c r="AB40" s="6">
        <f t="shared" ref="AB40:AB41" si="63">(AA40/Z39)</f>
        <v>0.11574691772513074</v>
      </c>
      <c r="AC40" s="7">
        <f t="shared" ref="AC40:AC41" si="64">AB40+1</f>
        <v>1.1157469177251307</v>
      </c>
      <c r="AD40" s="2">
        <f t="shared" ref="AD40:AD41" si="65">Z40-(I40-O40)</f>
        <v>0</v>
      </c>
      <c r="AE40" s="2"/>
      <c r="AG40">
        <f t="shared" ref="AG40:AG41" si="66">A40</f>
        <v>2013</v>
      </c>
      <c r="AH40" s="6">
        <f t="shared" ref="AH40:AH41" si="67">S40/$Z40</f>
        <v>7.204491358981735E-2</v>
      </c>
      <c r="AI40" s="7"/>
      <c r="AJ40" s="6">
        <f t="shared" ref="AJ40:AJ41" si="68">U40/$Z40</f>
        <v>0.32495492214075949</v>
      </c>
      <c r="AK40" s="6">
        <f t="shared" ref="AK40:AK41" si="69">V40/$Z40</f>
        <v>1.7372750335166564E-2</v>
      </c>
      <c r="AL40" s="7"/>
      <c r="AM40" s="6">
        <f t="shared" ref="AM40:AM41" si="70">X40/$Z40</f>
        <v>0.23937010828293995</v>
      </c>
      <c r="AN40" s="6">
        <f t="shared" ref="AN40:AN41" si="71">Y40/$Z40</f>
        <v>0.34625730565131663</v>
      </c>
      <c r="AO40" s="6">
        <f t="shared" ref="AO40:AO41" si="72">SUM(AH40:AN40)</f>
        <v>1</v>
      </c>
      <c r="AP40" s="7">
        <f t="shared" ref="AP40:AP41" si="73">SUM(AH40:AM40)</f>
        <v>0.65374269434868337</v>
      </c>
      <c r="AQ40" s="7">
        <f t="shared" ref="AQ40:AQ41" si="74">AO40-(AP40+AN40)</f>
        <v>0</v>
      </c>
    </row>
    <row r="41" spans="1:43" x14ac:dyDescent="0.55000000000000004">
      <c r="A41">
        <f t="shared" si="11"/>
        <v>2014</v>
      </c>
      <c r="B41" s="2">
        <f t="shared" si="18"/>
        <v>10682.198774646929</v>
      </c>
      <c r="C41" s="2"/>
      <c r="D41" s="2">
        <f t="shared" ref="D41:E41" si="75">U40*(1+(D18/100))</f>
        <v>48219.717050545449</v>
      </c>
      <c r="E41" s="2">
        <f t="shared" si="75"/>
        <v>2436.5466912389506</v>
      </c>
      <c r="F41" s="2"/>
      <c r="G41" s="2">
        <f t="shared" si="21"/>
        <v>30984.964772592881</v>
      </c>
      <c r="H41" s="2">
        <f t="shared" si="22"/>
        <v>47834.759417563866</v>
      </c>
      <c r="I41" s="2">
        <f t="shared" si="50"/>
        <v>140158.18670658808</v>
      </c>
      <c r="J41" s="2">
        <f t="shared" si="51"/>
        <v>4087.1192487949447</v>
      </c>
      <c r="K41" s="6">
        <f t="shared" si="52"/>
        <v>3.0036651620027142E-2</v>
      </c>
      <c r="L41" s="7">
        <f t="shared" si="53"/>
        <v>1.0300366516200272</v>
      </c>
      <c r="N41">
        <f t="shared" si="54"/>
        <v>2014</v>
      </c>
      <c r="O41" s="2">
        <f t="shared" si="28"/>
        <v>5517.265199959631</v>
      </c>
      <c r="P41" s="2"/>
      <c r="Q41" s="2"/>
      <c r="R41">
        <f t="shared" si="55"/>
        <v>2014</v>
      </c>
      <c r="S41" s="2">
        <f t="shared" si="56"/>
        <v>9578.7457346550036</v>
      </c>
      <c r="T41" s="2"/>
      <c r="U41" s="2">
        <f t="shared" si="57"/>
        <v>47116.264010553525</v>
      </c>
      <c r="V41" s="2">
        <f t="shared" si="58"/>
        <v>1333.0936512470244</v>
      </c>
      <c r="W41" s="2"/>
      <c r="X41" s="2">
        <f t="shared" si="59"/>
        <v>29881.511732600953</v>
      </c>
      <c r="Y41" s="2">
        <f t="shared" si="60"/>
        <v>46731.306377571942</v>
      </c>
      <c r="Z41" s="2">
        <f t="shared" si="61"/>
        <v>134640.92150662845</v>
      </c>
      <c r="AA41" s="2">
        <f t="shared" si="62"/>
        <v>4016.8529628047399</v>
      </c>
      <c r="AB41" s="6">
        <f t="shared" si="63"/>
        <v>3.0751246746361344E-2</v>
      </c>
      <c r="AC41" s="7">
        <f t="shared" si="64"/>
        <v>1.0307512467463613</v>
      </c>
      <c r="AD41" s="2">
        <f t="shared" si="65"/>
        <v>0</v>
      </c>
      <c r="AE41" s="2"/>
      <c r="AG41">
        <f t="shared" si="66"/>
        <v>2014</v>
      </c>
      <c r="AH41" s="6">
        <f t="shared" si="67"/>
        <v>7.1142900891267569E-2</v>
      </c>
      <c r="AI41" s="7"/>
      <c r="AJ41" s="6">
        <f t="shared" si="68"/>
        <v>0.34994014808665702</v>
      </c>
      <c r="AK41" s="6">
        <f t="shared" si="69"/>
        <v>9.9011031440496746E-3</v>
      </c>
      <c r="AL41" s="7"/>
      <c r="AM41" s="6">
        <f t="shared" si="70"/>
        <v>0.22193484267804769</v>
      </c>
      <c r="AN41" s="6">
        <f t="shared" si="71"/>
        <v>0.34708100519997803</v>
      </c>
      <c r="AO41" s="6">
        <f t="shared" si="72"/>
        <v>1</v>
      </c>
      <c r="AP41" s="7">
        <f t="shared" si="73"/>
        <v>0.65291899480002202</v>
      </c>
      <c r="AQ41" s="7">
        <f t="shared" si="74"/>
        <v>0</v>
      </c>
    </row>
    <row r="42" spans="1:43" x14ac:dyDescent="0.55000000000000004">
      <c r="A42">
        <f t="shared" ref="A42:A43" si="76">A19</f>
        <v>2015</v>
      </c>
      <c r="B42" s="2">
        <f t="shared" ref="B42:B43" si="77">S41*(1+(B19/100))</f>
        <v>9698.4800563381905</v>
      </c>
      <c r="C42" s="2"/>
      <c r="D42" s="2">
        <f t="shared" ref="D42:D43" si="78">U41*(1+(D19/100))</f>
        <v>46428.366555999448</v>
      </c>
      <c r="E42" s="2">
        <f t="shared" ref="E42:E43" si="79">V41*(1+(E19/100))</f>
        <v>1282.7027112298867</v>
      </c>
      <c r="F42" s="2"/>
      <c r="G42" s="2">
        <f t="shared" ref="G42:G43" si="80">G41*(1+(G19/100))</f>
        <v>29630.921812030574</v>
      </c>
      <c r="H42" s="2">
        <f t="shared" ref="H42:H43" si="81">Y41*(1+(H19/100))</f>
        <v>46871.500296704653</v>
      </c>
      <c r="I42" s="2">
        <f t="shared" ref="I42:I43" si="82">SUM(B42:H42)</f>
        <v>133911.97143230276</v>
      </c>
      <c r="J42" s="2">
        <f t="shared" ref="J42:J43" si="83">I42-I41</f>
        <v>-6246.2152742853214</v>
      </c>
      <c r="K42" s="6">
        <f t="shared" ref="K42:K43" si="84">(J42/I41)</f>
        <v>-4.456546863981168E-2</v>
      </c>
      <c r="L42" s="7">
        <f t="shared" ref="L42:L43" si="85">K42+1</f>
        <v>0.9554345313601883</v>
      </c>
      <c r="N42">
        <f t="shared" ref="N42:N43" si="86">A42</f>
        <v>2015</v>
      </c>
      <c r="O42" s="2">
        <f t="shared" ref="O42:O43" si="87">O41*(1+O19)</f>
        <v>5541.5411668394536</v>
      </c>
      <c r="P42" s="2"/>
      <c r="Q42" s="2"/>
      <c r="R42">
        <f t="shared" ref="R42:R43" si="88">A42</f>
        <v>2015</v>
      </c>
      <c r="S42" s="2">
        <f t="shared" ref="S42" si="89">B42-($O42/5)</f>
        <v>8590.1718229703001</v>
      </c>
      <c r="T42" s="2"/>
      <c r="U42" s="2">
        <f t="shared" ref="U42" si="90">D42-($O42/5)</f>
        <v>45320.058322631558</v>
      </c>
      <c r="V42" s="2">
        <f t="shared" ref="V42" si="91">E42-($O42/5)</f>
        <v>174.39447786199594</v>
      </c>
      <c r="W42" s="2"/>
      <c r="X42" s="2">
        <f t="shared" ref="X42" si="92">G42-($O42/5)</f>
        <v>28522.613578662684</v>
      </c>
      <c r="Y42" s="2">
        <f t="shared" ref="Y42" si="93">H42-($O42/5)</f>
        <v>45763.192063336763</v>
      </c>
      <c r="Z42" s="2">
        <f t="shared" ref="Z42:Z43" si="94">SUM(S42:Y42)</f>
        <v>128370.43026546331</v>
      </c>
      <c r="AA42" s="2">
        <f t="shared" ref="AA42:AA43" si="95">Z42-Z41</f>
        <v>-6270.4912411651458</v>
      </c>
      <c r="AB42" s="6">
        <f t="shared" ref="AB42:AB43" si="96">(AA42/Z41)</f>
        <v>-4.657195725488588E-2</v>
      </c>
      <c r="AC42" s="7">
        <f t="shared" ref="AC42:AC43" si="97">AB42+1</f>
        <v>0.95342804274511417</v>
      </c>
      <c r="AD42" s="2">
        <f t="shared" ref="AD42:AD43" si="98">Z42-(I42-O42)</f>
        <v>0</v>
      </c>
      <c r="AE42" s="2"/>
      <c r="AG42">
        <f t="shared" ref="AG42:AG43" si="99">A42</f>
        <v>2015</v>
      </c>
      <c r="AH42" s="6">
        <f t="shared" ref="AH42:AH43" si="100">S42/$Z42</f>
        <v>6.691706030124131E-2</v>
      </c>
      <c r="AI42" s="7"/>
      <c r="AJ42" s="6">
        <f t="shared" ref="AJ42:AJ43" si="101">U42/$Z42</f>
        <v>0.35304125902602379</v>
      </c>
      <c r="AK42" s="6">
        <f t="shared" ref="AK42:AK43" si="102">V42/$Z42</f>
        <v>1.3585253044751608E-3</v>
      </c>
      <c r="AL42" s="7"/>
      <c r="AM42" s="6">
        <f t="shared" ref="AM42:AM43" si="103">X42/$Z42</f>
        <v>0.22218990401200198</v>
      </c>
      <c r="AN42" s="6">
        <f t="shared" ref="AN42:AN43" si="104">Y42/$Z42</f>
        <v>0.3564932513562577</v>
      </c>
      <c r="AO42" s="6">
        <f t="shared" ref="AO42:AO43" si="105">SUM(AH42:AN42)</f>
        <v>1</v>
      </c>
      <c r="AP42" s="7">
        <f t="shared" ref="AP42:AP43" si="106">SUM(AH42:AM42)</f>
        <v>0.64350674864374224</v>
      </c>
      <c r="AQ42" s="7">
        <f t="shared" ref="AQ42:AQ43" si="107">AO42-(AP42+AN42)</f>
        <v>0</v>
      </c>
    </row>
    <row r="43" spans="1:43" x14ac:dyDescent="0.55000000000000004">
      <c r="A43">
        <f t="shared" si="76"/>
        <v>2016</v>
      </c>
      <c r="B43" s="2">
        <f t="shared" si="77"/>
        <v>9605.5301324453903</v>
      </c>
      <c r="C43" s="2"/>
      <c r="D43" s="2">
        <f t="shared" si="78"/>
        <v>50336.98877894687</v>
      </c>
      <c r="E43" s="2">
        <f t="shared" si="79"/>
        <v>206.0819544895206</v>
      </c>
      <c r="F43" s="2"/>
      <c r="G43" s="2">
        <f t="shared" si="80"/>
        <v>31008.759676289996</v>
      </c>
      <c r="H43" s="2">
        <f t="shared" si="81"/>
        <v>46907.271864920178</v>
      </c>
      <c r="I43" s="2">
        <f t="shared" si="82"/>
        <v>138064.63240709197</v>
      </c>
      <c r="J43" s="2">
        <f t="shared" si="83"/>
        <v>4152.6609747892071</v>
      </c>
      <c r="K43" s="6">
        <f t="shared" si="84"/>
        <v>3.101037891066016E-2</v>
      </c>
      <c r="L43" s="7">
        <f t="shared" si="85"/>
        <v>1.0310103789106602</v>
      </c>
      <c r="N43">
        <f t="shared" si="86"/>
        <v>2016</v>
      </c>
      <c r="O43" s="2">
        <f t="shared" si="87"/>
        <v>5635.7473666757242</v>
      </c>
      <c r="P43" s="2"/>
      <c r="Q43" s="2"/>
      <c r="R43">
        <f t="shared" si="88"/>
        <v>2016</v>
      </c>
      <c r="S43" s="2">
        <f>B43-(($O43-$E43)/4)</f>
        <v>8248.1137793988401</v>
      </c>
      <c r="T43" s="2"/>
      <c r="U43" s="2">
        <f>D43-(($O43-$E43)/4)</f>
        <v>48979.572425900318</v>
      </c>
      <c r="V43" s="2">
        <f>E43-E43</f>
        <v>0</v>
      </c>
      <c r="W43" s="2"/>
      <c r="X43" s="2">
        <f>G43-(($O43-$E43)/4)</f>
        <v>29651.343323243444</v>
      </c>
      <c r="Y43" s="2">
        <f>H43-(($O43-$E43)/4)</f>
        <v>45549.855511873626</v>
      </c>
      <c r="Z43" s="2">
        <f t="shared" si="94"/>
        <v>132428.88504041621</v>
      </c>
      <c r="AA43" s="2">
        <f t="shared" si="95"/>
        <v>4058.4547749529011</v>
      </c>
      <c r="AB43" s="6">
        <f t="shared" si="96"/>
        <v>3.1615184015199062E-2</v>
      </c>
      <c r="AC43" s="7">
        <f t="shared" si="97"/>
        <v>1.031615184015199</v>
      </c>
      <c r="AD43" s="2">
        <f t="shared" si="98"/>
        <v>0</v>
      </c>
      <c r="AE43" s="2"/>
      <c r="AG43">
        <f t="shared" si="99"/>
        <v>2016</v>
      </c>
      <c r="AH43" s="6">
        <f t="shared" si="100"/>
        <v>6.2283343825492325E-2</v>
      </c>
      <c r="AI43" s="7"/>
      <c r="AJ43" s="6">
        <f t="shared" si="101"/>
        <v>0.36985565808359827</v>
      </c>
      <c r="AK43" s="6">
        <f t="shared" si="102"/>
        <v>0</v>
      </c>
      <c r="AL43" s="7"/>
      <c r="AM43" s="6">
        <f t="shared" si="103"/>
        <v>0.22390389614919809</v>
      </c>
      <c r="AN43" s="6">
        <f t="shared" si="104"/>
        <v>0.34395710194171147</v>
      </c>
      <c r="AO43" s="6">
        <f t="shared" si="105"/>
        <v>1</v>
      </c>
      <c r="AP43" s="7">
        <f t="shared" si="106"/>
        <v>0.65604289805828864</v>
      </c>
      <c r="AQ43" s="7">
        <f t="shared" si="107"/>
        <v>0</v>
      </c>
    </row>
    <row r="44" spans="1:43" x14ac:dyDescent="0.55000000000000004">
      <c r="A44" s="9" t="s">
        <v>41</v>
      </c>
      <c r="B44" s="10">
        <f>S43</f>
        <v>8248.1137793988401</v>
      </c>
      <c r="C44" s="10"/>
      <c r="D44" s="10">
        <f>U43</f>
        <v>48979.572425900318</v>
      </c>
      <c r="E44" s="10">
        <f>V43</f>
        <v>0</v>
      </c>
      <c r="F44" s="10"/>
      <c r="G44" s="10">
        <f>X43</f>
        <v>29651.343323243444</v>
      </c>
      <c r="H44" s="10">
        <f>Y43</f>
        <v>45549.855511873626</v>
      </c>
      <c r="I44" s="10">
        <f>SUM(B44:H44)</f>
        <v>132428.88504041621</v>
      </c>
      <c r="J44" s="10"/>
      <c r="K44" s="10"/>
      <c r="N44" t="s">
        <v>69</v>
      </c>
      <c r="O44" s="2">
        <f>O43</f>
        <v>5635.7473666757242</v>
      </c>
      <c r="P44" s="2"/>
      <c r="R44" s="67" t="s">
        <v>41</v>
      </c>
      <c r="S44" s="10">
        <f>S43</f>
        <v>8248.1137793988401</v>
      </c>
      <c r="T44" s="10"/>
      <c r="U44" s="10">
        <f>U43</f>
        <v>48979.572425900318</v>
      </c>
      <c r="V44" s="10">
        <f>V43</f>
        <v>0</v>
      </c>
      <c r="W44" s="10"/>
      <c r="X44" s="10">
        <f>X43</f>
        <v>29651.343323243444</v>
      </c>
      <c r="Y44" s="10">
        <f>Y43</f>
        <v>45549.855511873626</v>
      </c>
      <c r="Z44" s="10">
        <f>SUM(S44:Y44)</f>
        <v>132428.88504041621</v>
      </c>
      <c r="AA44" s="40"/>
      <c r="AB44" s="40"/>
      <c r="AC44" s="40"/>
      <c r="AD44" s="40"/>
      <c r="AE44" s="40"/>
      <c r="AH44" s="6"/>
      <c r="AK44" s="7"/>
      <c r="AN44" s="6"/>
    </row>
    <row r="45" spans="1:43" x14ac:dyDescent="0.55000000000000004">
      <c r="A45" s="11" t="s">
        <v>28</v>
      </c>
      <c r="I45" s="6">
        <f>(Z44-Z26)/Z26</f>
        <v>0.32428885040416205</v>
      </c>
      <c r="K45" s="6"/>
      <c r="N45" t="s">
        <v>115</v>
      </c>
      <c r="O45" s="2">
        <f>SUM(O27:O43)</f>
        <v>83469.67485706025</v>
      </c>
      <c r="P45" s="2"/>
    </row>
    <row r="46" spans="1:43" x14ac:dyDescent="0.55000000000000004">
      <c r="A46" s="1" t="s">
        <v>29</v>
      </c>
      <c r="I46" s="12">
        <f>STDEV(AC27:AC43)</f>
        <v>0.11754622086462457</v>
      </c>
    </row>
    <row r="47" spans="1:43" x14ac:dyDescent="0.55000000000000004">
      <c r="A47" s="1" t="s">
        <v>30</v>
      </c>
      <c r="I47" s="13">
        <f>((1+I45)^(1/I54))-1</f>
        <v>1.6659338649900546E-2</v>
      </c>
    </row>
    <row r="48" spans="1:43" x14ac:dyDescent="0.55000000000000004">
      <c r="A48" s="1" t="s">
        <v>45</v>
      </c>
      <c r="I48" s="28">
        <f>J35</f>
        <v>-38119.951776779737</v>
      </c>
      <c r="O48" s="2"/>
      <c r="P48" s="2"/>
    </row>
    <row r="49" spans="1:9" x14ac:dyDescent="0.55000000000000004">
      <c r="A49" s="1" t="s">
        <v>46</v>
      </c>
      <c r="I49" s="29">
        <f>K35</f>
        <v>-0.29012657235089345</v>
      </c>
    </row>
    <row r="50" spans="1:9" x14ac:dyDescent="0.55000000000000004">
      <c r="A50" s="1" t="s">
        <v>22</v>
      </c>
      <c r="I50" s="2">
        <f>O45</f>
        <v>83469.67485706025</v>
      </c>
    </row>
    <row r="51" spans="1:9" x14ac:dyDescent="0.55000000000000004">
      <c r="A51" s="3" t="s">
        <v>148</v>
      </c>
      <c r="B51" s="3"/>
      <c r="C51" s="3"/>
      <c r="D51" s="3"/>
      <c r="E51" s="3"/>
      <c r="F51" s="3"/>
      <c r="G51" s="3"/>
      <c r="H51" s="3"/>
      <c r="I51" s="30">
        <f>I44-Z44</f>
        <v>0</v>
      </c>
    </row>
    <row r="52" spans="1:9" x14ac:dyDescent="0.55000000000000004">
      <c r="A52" s="3" t="s">
        <v>149</v>
      </c>
      <c r="B52" s="3"/>
      <c r="C52" s="3"/>
      <c r="D52" s="3"/>
      <c r="E52" s="3"/>
      <c r="F52" s="3"/>
      <c r="G52" s="3"/>
      <c r="H52" s="3"/>
      <c r="I52" s="30">
        <f>((SUM(AA27:AA43)))-(I44-I26)</f>
        <v>0</v>
      </c>
    </row>
    <row r="53" spans="1:9" x14ac:dyDescent="0.55000000000000004">
      <c r="A53" s="3" t="s">
        <v>150</v>
      </c>
      <c r="B53" s="3"/>
      <c r="C53" s="3"/>
      <c r="D53" s="3"/>
      <c r="E53" s="3"/>
      <c r="F53" s="3"/>
      <c r="G53" s="3"/>
      <c r="H53" s="3"/>
      <c r="I53" s="30">
        <f>(SUM(O27:O43))-O45</f>
        <v>0</v>
      </c>
    </row>
    <row r="54" spans="1:9" x14ac:dyDescent="0.55000000000000004">
      <c r="A54" s="3" t="s">
        <v>156</v>
      </c>
      <c r="B54" s="3"/>
      <c r="C54" s="3"/>
      <c r="D54" s="3"/>
      <c r="E54" s="3"/>
      <c r="F54" s="3"/>
      <c r="G54" s="3"/>
      <c r="H54" s="3"/>
      <c r="I54" s="66">
        <f>COUNTA(I27:I43)</f>
        <v>17</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4"/>
  <sheetViews>
    <sheetView topLeftCell="A21" workbookViewId="0">
      <pane ySplit="900" topLeftCell="A26" activePane="bottomLeft"/>
      <selection activeCell="AP21" sqref="AP1:AQ1048576"/>
      <selection pane="bottomLeft" activeCell="A54" sqref="A54:I54"/>
    </sheetView>
  </sheetViews>
  <sheetFormatPr defaultColWidth="8.83984375" defaultRowHeight="14.4" x14ac:dyDescent="0.55000000000000004"/>
  <cols>
    <col min="1" max="1" width="25.41796875" customWidth="1"/>
    <col min="9" max="9" width="11.68359375" customWidth="1"/>
    <col min="10" max="10" width="10" bestFit="1" customWidth="1"/>
    <col min="11" max="12" width="0" hidden="1" customWidth="1"/>
    <col min="15" max="15" width="9.83984375" bestFit="1" customWidth="1"/>
    <col min="16" max="16" width="9.83984375" customWidth="1"/>
    <col min="18" max="18" width="9.15625" customWidth="1"/>
    <col min="19" max="19" width="10.83984375" bestFit="1" customWidth="1"/>
    <col min="21" max="21" width="11.83984375" bestFit="1" customWidth="1"/>
    <col min="26" max="26" width="10.83984375" bestFit="1" customWidth="1"/>
    <col min="27" max="27" width="10" bestFit="1" customWidth="1"/>
    <col min="30" max="31" width="10.83984375" customWidth="1"/>
    <col min="56" max="56" width="10.83984375" bestFit="1" customWidth="1"/>
    <col min="63" max="63" width="10.15625" customWidth="1"/>
  </cols>
  <sheetData>
    <row r="1" spans="1:16" x14ac:dyDescent="0.55000000000000004">
      <c r="A1" s="18" t="s">
        <v>96</v>
      </c>
      <c r="N1" s="18" t="s">
        <v>68</v>
      </c>
    </row>
    <row r="2" spans="1:16" x14ac:dyDescent="0.55000000000000004">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55000000000000004">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55000000000000004">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55000000000000004">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55000000000000004">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55000000000000004">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55000000000000004">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55000000000000004">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55000000000000004">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55000000000000004">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55000000000000004">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55000000000000004">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55000000000000004">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55000000000000004">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55000000000000004">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55000000000000004">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55000000000000004">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65" x14ac:dyDescent="0.55000000000000004">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65" x14ac:dyDescent="0.55000000000000004">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3" spans="1:65" x14ac:dyDescent="0.55000000000000004">
      <c r="A23" s="18" t="s">
        <v>12</v>
      </c>
      <c r="N23" s="18" t="s">
        <v>120</v>
      </c>
      <c r="R23" s="18" t="s">
        <v>17</v>
      </c>
      <c r="AG23" s="18" t="s">
        <v>18</v>
      </c>
      <c r="AS23" s="18" t="s">
        <v>122</v>
      </c>
      <c r="BC23" s="18" t="s">
        <v>19</v>
      </c>
    </row>
    <row r="24" spans="1:65" x14ac:dyDescent="0.55000000000000004">
      <c r="B24" s="4" t="str">
        <f t="shared" ref="B24:H25" si="0">B2</f>
        <v>LC Stocks</v>
      </c>
      <c r="C24" s="4" t="str">
        <f t="shared" si="0"/>
        <v>Ext Mkt</v>
      </c>
      <c r="D24" s="4" t="str">
        <f t="shared" si="0"/>
        <v>Mcap Stk</v>
      </c>
      <c r="E24" s="4" t="str">
        <f t="shared" si="0"/>
        <v>Small Cap</v>
      </c>
      <c r="F24" s="4" t="str">
        <f t="shared" si="0"/>
        <v>Intl Val</v>
      </c>
      <c r="G24" s="4" t="str">
        <f t="shared" si="0"/>
        <v>Tot Int Stk</v>
      </c>
      <c r="H24" s="4" t="str">
        <f t="shared" si="0"/>
        <v>Bonds</v>
      </c>
      <c r="I24" s="5"/>
      <c r="J24" s="5" t="s">
        <v>39</v>
      </c>
      <c r="K24" s="5" t="s">
        <v>36</v>
      </c>
      <c r="L24" s="5" t="s">
        <v>37</v>
      </c>
      <c r="S24" s="4" t="str">
        <f t="shared" ref="S24:Y24" si="1">B24</f>
        <v>LC Stocks</v>
      </c>
      <c r="T24" s="4" t="str">
        <f t="shared" si="1"/>
        <v>Ext Mkt</v>
      </c>
      <c r="U24" s="4" t="str">
        <f t="shared" si="1"/>
        <v>Mcap Stk</v>
      </c>
      <c r="V24" s="4" t="str">
        <f t="shared" si="1"/>
        <v>Small Cap</v>
      </c>
      <c r="W24" s="4" t="str">
        <f t="shared" si="1"/>
        <v>Intl Val</v>
      </c>
      <c r="X24" s="4" t="str">
        <f t="shared" si="1"/>
        <v>Tot Int Stk</v>
      </c>
      <c r="Y24" s="4" t="str">
        <f t="shared" si="1"/>
        <v>Bonds</v>
      </c>
      <c r="Z24" s="5"/>
      <c r="AA24" s="5" t="s">
        <v>39</v>
      </c>
      <c r="AB24" s="5" t="s">
        <v>36</v>
      </c>
      <c r="AC24" s="5" t="s">
        <v>37</v>
      </c>
      <c r="AD24" s="5" t="s">
        <v>51</v>
      </c>
      <c r="AE24" s="5"/>
      <c r="AH24" s="4" t="str">
        <f t="shared" ref="AH24:AN25" si="2">B24</f>
        <v>LC Stocks</v>
      </c>
      <c r="AI24" s="4" t="str">
        <f t="shared" si="2"/>
        <v>Ext Mkt</v>
      </c>
      <c r="AJ24" s="4" t="str">
        <f t="shared" si="2"/>
        <v>Mcap Stk</v>
      </c>
      <c r="AK24" s="4" t="str">
        <f t="shared" si="2"/>
        <v>Small Cap</v>
      </c>
      <c r="AL24" s="4" t="str">
        <f t="shared" si="2"/>
        <v>Intl Val</v>
      </c>
      <c r="AM24" s="4" t="str">
        <f t="shared" si="2"/>
        <v>Tot Int Stk</v>
      </c>
      <c r="AN24" s="4" t="str">
        <f t="shared" si="2"/>
        <v>Bonds</v>
      </c>
      <c r="AO24" s="5"/>
      <c r="AP24" s="5" t="s">
        <v>6</v>
      </c>
      <c r="AQ24" s="5" t="s">
        <v>7</v>
      </c>
      <c r="AT24" s="4" t="str">
        <f t="shared" ref="AT24:AZ25" si="3">AH24</f>
        <v>LC Stocks</v>
      </c>
      <c r="AU24" s="4" t="str">
        <f t="shared" si="3"/>
        <v>Ext Mkt</v>
      </c>
      <c r="AV24" s="4" t="str">
        <f t="shared" si="3"/>
        <v>Mcap Stk</v>
      </c>
      <c r="AW24" s="4" t="str">
        <f t="shared" si="3"/>
        <v>Small Cap</v>
      </c>
      <c r="AX24" s="4" t="str">
        <f t="shared" si="3"/>
        <v>Intl Val</v>
      </c>
      <c r="AY24" s="4" t="str">
        <f t="shared" si="3"/>
        <v>Tot Int Stk</v>
      </c>
      <c r="AZ24" s="4" t="str">
        <f t="shared" si="3"/>
        <v>Bonds</v>
      </c>
      <c r="BA24" s="5"/>
      <c r="BD24" s="4" t="str">
        <f>AT24</f>
        <v>LC Stocks</v>
      </c>
      <c r="BE24" s="4" t="str">
        <f t="shared" ref="BE24:BK26" si="4">AU24</f>
        <v>Ext Mkt</v>
      </c>
      <c r="BF24" s="4" t="str">
        <f t="shared" si="4"/>
        <v>Mcap Stk</v>
      </c>
      <c r="BG24" s="4" t="str">
        <f t="shared" si="4"/>
        <v>Small Cap</v>
      </c>
      <c r="BH24" s="4" t="str">
        <f t="shared" si="4"/>
        <v>Intl Val</v>
      </c>
      <c r="BI24" s="4" t="str">
        <f t="shared" si="4"/>
        <v>Tot Int Stk</v>
      </c>
      <c r="BJ24" s="4" t="str">
        <f t="shared" si="4"/>
        <v>Bonds</v>
      </c>
      <c r="BK24" s="4"/>
      <c r="BL24" t="s">
        <v>51</v>
      </c>
    </row>
    <row r="25" spans="1:65" x14ac:dyDescent="0.55000000000000004">
      <c r="A25" t="s">
        <v>117</v>
      </c>
      <c r="B25" s="4" t="str">
        <f t="shared" si="0"/>
        <v>VFINX</v>
      </c>
      <c r="C25" s="4" t="str">
        <f t="shared" si="0"/>
        <v>VEXMX</v>
      </c>
      <c r="D25" s="4" t="str">
        <f t="shared" si="0"/>
        <v>VIMSX</v>
      </c>
      <c r="E25" s="4" t="str">
        <f t="shared" si="0"/>
        <v>NAESX</v>
      </c>
      <c r="F25" s="4" t="str">
        <f t="shared" si="0"/>
        <v>VTRIX</v>
      </c>
      <c r="G25" s="4" t="str">
        <f t="shared" si="0"/>
        <v>VGTSX</v>
      </c>
      <c r="H25" s="4" t="str">
        <f t="shared" si="0"/>
        <v>VBMFX</v>
      </c>
      <c r="I25" s="5" t="s">
        <v>115</v>
      </c>
      <c r="J25" s="5" t="s">
        <v>40</v>
      </c>
      <c r="K25" s="5" t="s">
        <v>38</v>
      </c>
      <c r="L25" s="5" t="s">
        <v>38</v>
      </c>
      <c r="R25" t="str">
        <f>A25</f>
        <v>Fund</v>
      </c>
      <c r="S25" s="4" t="str">
        <f t="shared" ref="S25:Z26" si="5">B25</f>
        <v>VFINX</v>
      </c>
      <c r="T25" s="4" t="str">
        <f t="shared" si="5"/>
        <v>VEXMX</v>
      </c>
      <c r="U25" s="4" t="str">
        <f t="shared" si="5"/>
        <v>VIMSX</v>
      </c>
      <c r="V25" s="4" t="str">
        <f t="shared" si="5"/>
        <v>NAESX</v>
      </c>
      <c r="W25" s="4" t="str">
        <f t="shared" si="5"/>
        <v>VTRIX</v>
      </c>
      <c r="X25" s="4" t="str">
        <f t="shared" si="5"/>
        <v>VGTSX</v>
      </c>
      <c r="Y25" s="4" t="str">
        <f t="shared" si="5"/>
        <v>VBMFX</v>
      </c>
      <c r="Z25" s="5" t="str">
        <f t="shared" si="5"/>
        <v>Total</v>
      </c>
      <c r="AA25" s="5" t="s">
        <v>40</v>
      </c>
      <c r="AB25" s="5" t="s">
        <v>38</v>
      </c>
      <c r="AC25" s="5" t="s">
        <v>38</v>
      </c>
      <c r="AD25" s="5" t="s">
        <v>50</v>
      </c>
      <c r="AE25" s="5"/>
      <c r="AG25" t="s">
        <v>117</v>
      </c>
      <c r="AH25" s="4" t="str">
        <f t="shared" si="2"/>
        <v>VFINX</v>
      </c>
      <c r="AI25" s="4" t="str">
        <f t="shared" si="2"/>
        <v>VEXMX</v>
      </c>
      <c r="AJ25" s="4" t="str">
        <f t="shared" si="2"/>
        <v>VIMSX</v>
      </c>
      <c r="AK25" s="4" t="str">
        <f t="shared" si="2"/>
        <v>NAESX</v>
      </c>
      <c r="AL25" s="4" t="str">
        <f t="shared" si="2"/>
        <v>VTRIX</v>
      </c>
      <c r="AM25" s="4" t="str">
        <f t="shared" si="2"/>
        <v>VGTSX</v>
      </c>
      <c r="AN25" s="4" t="str">
        <f t="shared" si="2"/>
        <v>VBMFX</v>
      </c>
      <c r="AO25" s="5" t="s">
        <v>115</v>
      </c>
      <c r="AP25" s="5" t="s">
        <v>7</v>
      </c>
      <c r="AQ25" s="5" t="s">
        <v>50</v>
      </c>
      <c r="AS25" t="str">
        <f>AG25</f>
        <v>Fund</v>
      </c>
      <c r="AT25" s="4" t="str">
        <f t="shared" si="3"/>
        <v>VFINX</v>
      </c>
      <c r="AU25" s="4" t="str">
        <f t="shared" si="3"/>
        <v>VEXMX</v>
      </c>
      <c r="AV25" s="4" t="str">
        <f t="shared" si="3"/>
        <v>VIMSX</v>
      </c>
      <c r="AW25" s="4" t="str">
        <f t="shared" si="3"/>
        <v>NAESX</v>
      </c>
      <c r="AX25" s="4" t="str">
        <f t="shared" si="3"/>
        <v>VTRIX</v>
      </c>
      <c r="AY25" s="4" t="str">
        <f t="shared" si="3"/>
        <v>VGTSX</v>
      </c>
      <c r="AZ25" s="4" t="str">
        <f t="shared" si="3"/>
        <v>VBMFX</v>
      </c>
      <c r="BA25" s="4" t="str">
        <f>AO25</f>
        <v>Total</v>
      </c>
      <c r="BC25" t="s">
        <v>117</v>
      </c>
      <c r="BD25" s="4" t="str">
        <f>AT25</f>
        <v>VFINX</v>
      </c>
      <c r="BE25" s="4" t="str">
        <f t="shared" si="4"/>
        <v>VEXMX</v>
      </c>
      <c r="BF25" s="4" t="str">
        <f t="shared" si="4"/>
        <v>VIMSX</v>
      </c>
      <c r="BG25" s="4" t="str">
        <f t="shared" si="4"/>
        <v>NAESX</v>
      </c>
      <c r="BH25" s="4" t="str">
        <f t="shared" si="4"/>
        <v>VTRIX</v>
      </c>
      <c r="BI25" s="4" t="str">
        <f t="shared" si="4"/>
        <v>VGTSX</v>
      </c>
      <c r="BJ25" s="4" t="str">
        <f t="shared" si="4"/>
        <v>VBMFX</v>
      </c>
      <c r="BK25" s="4" t="str">
        <f t="shared" si="4"/>
        <v>Total</v>
      </c>
      <c r="BL25" t="s">
        <v>50</v>
      </c>
    </row>
    <row r="26" spans="1:65" x14ac:dyDescent="0.55000000000000004">
      <c r="A26" t="s">
        <v>116</v>
      </c>
      <c r="B26" s="2">
        <f>'Non-Rebalanced Portfolio'!B26</f>
        <v>20000</v>
      </c>
      <c r="C26" s="2"/>
      <c r="D26" s="2">
        <f>'Non-Rebalanced Portfolio'!D26</f>
        <v>20000</v>
      </c>
      <c r="E26" s="2">
        <f>'Non-Rebalanced Portfolio'!E26</f>
        <v>10000</v>
      </c>
      <c r="F26" s="2"/>
      <c r="G26" s="2">
        <f>'Non-Rebalanced Portfolio'!G26</f>
        <v>20000</v>
      </c>
      <c r="H26" s="2">
        <f>'Non-Rebalanced Portfolio'!H26</f>
        <v>30000</v>
      </c>
      <c r="I26" s="2">
        <f>SUM(B26:H26)</f>
        <v>100000</v>
      </c>
      <c r="R26" t="str">
        <f>A26</f>
        <v>Stating Balance</v>
      </c>
      <c r="S26" s="2">
        <f>B26</f>
        <v>20000</v>
      </c>
      <c r="T26" s="2">
        <f t="shared" si="5"/>
        <v>0</v>
      </c>
      <c r="U26" s="2">
        <f t="shared" si="5"/>
        <v>20000</v>
      </c>
      <c r="V26" s="2">
        <f t="shared" si="5"/>
        <v>10000</v>
      </c>
      <c r="W26" s="2">
        <f t="shared" si="5"/>
        <v>0</v>
      </c>
      <c r="X26" s="2">
        <f t="shared" si="5"/>
        <v>20000</v>
      </c>
      <c r="Y26" s="2">
        <f t="shared" si="5"/>
        <v>30000</v>
      </c>
      <c r="Z26" s="2">
        <f t="shared" si="5"/>
        <v>100000</v>
      </c>
      <c r="AD26" s="2"/>
      <c r="AE26" s="2"/>
      <c r="AG26" s="19" t="s">
        <v>49</v>
      </c>
      <c r="AH26" s="6">
        <f t="shared" ref="AH26:AM37" si="6">S26/$Z26</f>
        <v>0.2</v>
      </c>
      <c r="AI26" s="6"/>
      <c r="AJ26" s="6">
        <f t="shared" si="6"/>
        <v>0.2</v>
      </c>
      <c r="AK26" s="6">
        <f t="shared" si="6"/>
        <v>0.1</v>
      </c>
      <c r="AL26" s="6"/>
      <c r="AM26" s="6">
        <f t="shared" si="6"/>
        <v>0.2</v>
      </c>
      <c r="AN26" s="6">
        <f>Y26/$Z26</f>
        <v>0.3</v>
      </c>
      <c r="AO26" s="6">
        <f>Z26/$Z26</f>
        <v>1</v>
      </c>
      <c r="AP26" s="22"/>
      <c r="AR26" s="22"/>
      <c r="AS26" s="19" t="str">
        <f>AG26</f>
        <v>Target Allocation</v>
      </c>
      <c r="AT26" s="22">
        <f>AH26</f>
        <v>0.2</v>
      </c>
      <c r="AU26" s="22">
        <f>AI26</f>
        <v>0</v>
      </c>
      <c r="AV26" s="22">
        <f>AJ26</f>
        <v>0.2</v>
      </c>
      <c r="AW26" s="22">
        <f>AK26</f>
        <v>0.1</v>
      </c>
      <c r="AX26" s="22"/>
      <c r="AY26" s="22">
        <f>AM26</f>
        <v>0.2</v>
      </c>
      <c r="AZ26" s="22">
        <f>AN26</f>
        <v>0.3</v>
      </c>
      <c r="BA26" s="22">
        <f>AO26</f>
        <v>1</v>
      </c>
      <c r="BC26" s="19" t="str">
        <f>AS26</f>
        <v>Target Allocation</v>
      </c>
      <c r="BD26" s="22">
        <f>AT26</f>
        <v>0.2</v>
      </c>
      <c r="BE26" s="22"/>
      <c r="BF26" s="22">
        <f>AV26</f>
        <v>0.2</v>
      </c>
      <c r="BG26" s="22">
        <f>AW26</f>
        <v>0.1</v>
      </c>
      <c r="BH26" s="22"/>
      <c r="BI26" s="22">
        <f>AY26</f>
        <v>0.2</v>
      </c>
      <c r="BJ26" s="22">
        <f t="shared" si="4"/>
        <v>0.3</v>
      </c>
      <c r="BK26" s="22">
        <f t="shared" si="4"/>
        <v>1</v>
      </c>
      <c r="BL26" s="2"/>
    </row>
    <row r="27" spans="1:65" x14ac:dyDescent="0.55000000000000004">
      <c r="A27">
        <f t="shared" ref="A27:A41" si="7">A4</f>
        <v>2000</v>
      </c>
      <c r="B27" s="2">
        <f>B26*(1+(B4/100))</f>
        <v>18188</v>
      </c>
      <c r="C27" s="2"/>
      <c r="D27" s="2">
        <f>D26*(1+(D4/100))</f>
        <v>23619.599999999999</v>
      </c>
      <c r="E27" s="2">
        <f>E26*(1+(E4/100))</f>
        <v>9733.5</v>
      </c>
      <c r="F27" s="2"/>
      <c r="G27" s="2">
        <f>G26*(1+(G4/100))</f>
        <v>16877.2</v>
      </c>
      <c r="H27" s="2">
        <f>H26*(1+(H4/100))</f>
        <v>33417</v>
      </c>
      <c r="I27" s="2">
        <f>SUM(B27:H27)</f>
        <v>101835.3</v>
      </c>
      <c r="J27" s="2">
        <f>I27-I26</f>
        <v>1835.3000000000029</v>
      </c>
      <c r="K27" s="6">
        <f>(J27/I26)</f>
        <v>1.8353000000000029E-2</v>
      </c>
      <c r="L27" s="7">
        <f>K27+1</f>
        <v>1.0183530000000001</v>
      </c>
      <c r="N27">
        <f>A27</f>
        <v>2000</v>
      </c>
      <c r="O27" s="2">
        <f>I27*0.04</f>
        <v>4073.4120000000003</v>
      </c>
      <c r="P27" s="2"/>
      <c r="Q27" s="2"/>
      <c r="R27">
        <f>A27</f>
        <v>2000</v>
      </c>
      <c r="S27" s="2">
        <f t="shared" ref="S27" si="8">B27-($O27/5)</f>
        <v>17373.317599999998</v>
      </c>
      <c r="T27" s="2"/>
      <c r="U27" s="2">
        <f t="shared" ref="U27" si="9">D27-($O27/5)</f>
        <v>22804.917599999997</v>
      </c>
      <c r="V27" s="2">
        <f t="shared" ref="V27" si="10">E27-($O27/5)</f>
        <v>8918.8176000000003</v>
      </c>
      <c r="W27" s="2"/>
      <c r="X27" s="2">
        <f t="shared" ref="X27" si="11">G27-($O27/5)</f>
        <v>16062.517600000001</v>
      </c>
      <c r="Y27" s="2">
        <f t="shared" ref="Y27" si="12">H27-($O27/5)</f>
        <v>32602.317599999998</v>
      </c>
      <c r="Z27" s="2">
        <f>SUM(S27:Y27)</f>
        <v>97761.887999999992</v>
      </c>
      <c r="AA27" s="2">
        <f>Z27-Z26</f>
        <v>-2238.1120000000083</v>
      </c>
      <c r="AB27" s="6">
        <f>(AA27/Z26)</f>
        <v>-2.2381120000000084E-2</v>
      </c>
      <c r="AC27" s="7">
        <f>AB27+1</f>
        <v>0.97761887999999997</v>
      </c>
      <c r="AD27" s="2">
        <f>Z27-(I27-O27)</f>
        <v>0</v>
      </c>
      <c r="AE27" s="2"/>
      <c r="AG27">
        <f>A27</f>
        <v>2000</v>
      </c>
      <c r="AH27" s="6">
        <f t="shared" si="6"/>
        <v>0.17771053685051583</v>
      </c>
      <c r="AI27" s="6"/>
      <c r="AJ27" s="6">
        <f t="shared" si="6"/>
        <v>0.23327002031711988</v>
      </c>
      <c r="AK27" s="6">
        <f t="shared" si="6"/>
        <v>9.1230005705290815E-2</v>
      </c>
      <c r="AL27" s="6"/>
      <c r="AM27" s="6">
        <f t="shared" si="6"/>
        <v>0.16430244882341064</v>
      </c>
      <c r="AN27" s="6">
        <f>Y27/$Z27</f>
        <v>0.33348698830366291</v>
      </c>
      <c r="AO27" s="6">
        <f>SUM(AH27:AN27)</f>
        <v>1</v>
      </c>
      <c r="AP27" s="7">
        <f>SUM(AH27:AM27)</f>
        <v>0.66651301169633714</v>
      </c>
      <c r="AQ27" s="7">
        <f>AO27-(AP27+AN27)</f>
        <v>0</v>
      </c>
      <c r="AR27" s="22"/>
      <c r="AS27">
        <f>AG27</f>
        <v>2000</v>
      </c>
      <c r="AT27" s="1" t="b">
        <f>AND((S27/$Z27)&gt;0.15,(S27/$Z27)&lt;0.25)</f>
        <v>1</v>
      </c>
      <c r="AU27" s="1"/>
      <c r="AV27" s="1" t="b">
        <f>AND((U27/$Z27)&gt;0.15,(U27/$Z27)&lt;0.25)</f>
        <v>1</v>
      </c>
      <c r="AW27" s="1" t="b">
        <f>AND((V27/$Z27)&gt;0.05,(V27/$Z27)&lt;0.15)</f>
        <v>1</v>
      </c>
      <c r="AX27" s="1"/>
      <c r="AY27" s="1" t="b">
        <f t="shared" ref="AY27:AY36" si="13">AND((X27/$Z27)&gt;0.15,(X27/$Z27)&lt;0.25)</f>
        <v>1</v>
      </c>
      <c r="AZ27" s="1" t="b">
        <f>AND((Y27/$Z27)&gt;0.25,(Y27/$Z27)&lt;0.35)</f>
        <v>1</v>
      </c>
      <c r="BA27" s="1" t="b">
        <f>AND((Z27/$Z27)&gt;0.999,(Z27/$Z27)&lt;1.01)</f>
        <v>1</v>
      </c>
      <c r="BC27">
        <f>AS27</f>
        <v>2000</v>
      </c>
      <c r="BD27" s="2">
        <f>S27</f>
        <v>17373.317599999998</v>
      </c>
      <c r="BE27" s="2"/>
      <c r="BF27" s="2">
        <f>U27</f>
        <v>22804.917599999997</v>
      </c>
      <c r="BG27" s="2">
        <f>V27</f>
        <v>8918.8176000000003</v>
      </c>
      <c r="BH27" s="2"/>
      <c r="BI27" s="2">
        <f>X27</f>
        <v>16062.517600000001</v>
      </c>
      <c r="BJ27" s="2">
        <f>Y27</f>
        <v>32602.317599999998</v>
      </c>
      <c r="BK27" s="2">
        <f>Z27</f>
        <v>97761.887999999992</v>
      </c>
      <c r="BL27" s="2">
        <f>SUM(BD27:BJ27)-Z27</f>
        <v>0</v>
      </c>
      <c r="BM27" s="2"/>
    </row>
    <row r="28" spans="1:65" x14ac:dyDescent="0.55000000000000004">
      <c r="A28">
        <f t="shared" si="7"/>
        <v>2001</v>
      </c>
      <c r="B28" s="2">
        <f t="shared" ref="B28:B41" si="14">BD27*(1+(B5/100))</f>
        <v>15285.044824479999</v>
      </c>
      <c r="C28" s="2"/>
      <c r="D28" s="2">
        <f t="shared" ref="D28:D41" si="15">BF27*(1+(D5/100))</f>
        <v>22691.121061175996</v>
      </c>
      <c r="E28" s="2">
        <f t="shared" ref="E28:E41" si="16">BG27*(1+(E5/100))</f>
        <v>9195.3009456</v>
      </c>
      <c r="F28" s="2"/>
      <c r="G28" s="2">
        <f t="shared" ref="G28:G41" si="17">BI27*(1+(G5/100))</f>
        <v>12825.438428072001</v>
      </c>
      <c r="H28" s="2">
        <f t="shared" ref="H28:H41" si="18">BJ27*(1+(H5/100))</f>
        <v>35350.692973680001</v>
      </c>
      <c r="I28" s="2">
        <f>SUM(B28:H28)</f>
        <v>95347.598233008001</v>
      </c>
      <c r="J28" s="2">
        <f t="shared" ref="J28:J38" si="19">I28-I27</f>
        <v>-6487.7017669920024</v>
      </c>
      <c r="K28" s="6">
        <f t="shared" ref="K28:K38" si="20">(J28/I27)</f>
        <v>-6.3707788625280259E-2</v>
      </c>
      <c r="L28" s="7">
        <f t="shared" ref="L28:L38" si="21">K28+1</f>
        <v>0.93629221137471974</v>
      </c>
      <c r="N28">
        <f t="shared" ref="N28:N38" si="22">A28</f>
        <v>2001</v>
      </c>
      <c r="O28" s="2">
        <f t="shared" ref="O28:O41" si="23">O27*(1+O5)</f>
        <v>4138.5865920000006</v>
      </c>
      <c r="P28" s="2"/>
      <c r="Q28" s="2"/>
      <c r="R28">
        <f t="shared" ref="R28:R38" si="24">A28</f>
        <v>2001</v>
      </c>
      <c r="S28" s="2">
        <f t="shared" ref="S28:S38" si="25">B28-($O28/5)</f>
        <v>14457.327506079999</v>
      </c>
      <c r="T28" s="2"/>
      <c r="U28" s="2">
        <f t="shared" ref="U28:U38" si="26">D28-($O28/5)</f>
        <v>21863.403742775998</v>
      </c>
      <c r="V28" s="2">
        <f t="shared" ref="V28:V38" si="27">E28-($O28/5)</f>
        <v>8367.5836271999997</v>
      </c>
      <c r="W28" s="2"/>
      <c r="X28" s="2">
        <f t="shared" ref="X28:X38" si="28">G28-($O28/5)</f>
        <v>11997.721109672</v>
      </c>
      <c r="Y28" s="2">
        <f t="shared" ref="Y28:Y38" si="29">H28-($O28/5)</f>
        <v>34522.975655280003</v>
      </c>
      <c r="Z28" s="2">
        <f t="shared" ref="Z28:Z38" si="30">SUM(S28:Y28)</f>
        <v>91209.011641007994</v>
      </c>
      <c r="AA28" s="2">
        <f t="shared" ref="AA28:AA38" si="31">Z28-Z27</f>
        <v>-6552.8763589919981</v>
      </c>
      <c r="AB28" s="6">
        <f t="shared" ref="AB28:AB38" si="32">(AA28/Z27)</f>
        <v>-6.7028946484666896E-2</v>
      </c>
      <c r="AC28" s="7">
        <f t="shared" ref="AC28:AC38" si="33">AB28+1</f>
        <v>0.93297105351533305</v>
      </c>
      <c r="AD28" s="2">
        <f t="shared" ref="AD28:AD38" si="34">Z28-(I28-O28)</f>
        <v>0</v>
      </c>
      <c r="AE28" s="2"/>
      <c r="AG28">
        <f t="shared" ref="AG28:AG38" si="35">A28</f>
        <v>2001</v>
      </c>
      <c r="AH28" s="6">
        <f t="shared" si="6"/>
        <v>0.1585076654813779</v>
      </c>
      <c r="AI28" s="6"/>
      <c r="AJ28" s="6">
        <f t="shared" si="6"/>
        <v>0.23970661834193269</v>
      </c>
      <c r="AK28" s="6">
        <f t="shared" si="6"/>
        <v>9.174075539963307E-2</v>
      </c>
      <c r="AL28" s="6"/>
      <c r="AM28" s="57">
        <f t="shared" si="6"/>
        <v>0.13154096172968252</v>
      </c>
      <c r="AN28" s="57">
        <f t="shared" ref="AN28:AN38" si="36">Y28/$Z28</f>
        <v>0.37850399904737386</v>
      </c>
      <c r="AO28" s="6">
        <f t="shared" ref="AO28:AO38" si="37">SUM(AH28:AN28)</f>
        <v>1</v>
      </c>
      <c r="AP28" s="7">
        <f t="shared" ref="AP28:AP38" si="38">SUM(AH28:AM28)</f>
        <v>0.62149600095262614</v>
      </c>
      <c r="AQ28" s="7">
        <f t="shared" ref="AQ28:AQ38" si="39">AO28-(AP28+AN28)</f>
        <v>0</v>
      </c>
      <c r="AR28" s="22"/>
      <c r="AS28">
        <f t="shared" ref="AS28:AS38" si="40">AG28</f>
        <v>2001</v>
      </c>
      <c r="AT28" s="1" t="b">
        <f t="shared" ref="AT28:AT38" si="41">AND((S28/$Z28)&gt;0.15,(S28/$Z28)&lt;0.25)</f>
        <v>1</v>
      </c>
      <c r="AU28" s="1"/>
      <c r="AV28" s="1" t="b">
        <f t="shared" ref="AV28:AV38" si="42">AND((U28/$Z28)&gt;0.15,(U28/$Z28)&lt;0.25)</f>
        <v>1</v>
      </c>
      <c r="AW28" s="1" t="b">
        <f t="shared" ref="AW28:AW38" si="43">AND((V28/$Z28)&gt;0.05,(V28/$Z28)&lt;0.15)</f>
        <v>1</v>
      </c>
      <c r="AX28" s="1"/>
      <c r="AY28" s="35" t="b">
        <f t="shared" si="13"/>
        <v>0</v>
      </c>
      <c r="AZ28" s="35" t="b">
        <f t="shared" ref="AZ28:AZ38" si="44">AND((Y28/$Z28)&gt;0.25,(Y28/$Z28)&lt;0.35)</f>
        <v>0</v>
      </c>
      <c r="BA28" s="1" t="b">
        <f t="shared" ref="BA28:BA38" si="45">AND((Z28/$Z28)&gt;0.999,(Z28/$Z28)&lt;1.01)</f>
        <v>1</v>
      </c>
      <c r="BC28">
        <f t="shared" ref="BC28:BC38" si="46">AS28</f>
        <v>2001</v>
      </c>
      <c r="BD28" s="36">
        <f>BD$26*$Z28</f>
        <v>18241.8023282016</v>
      </c>
      <c r="BE28" s="2"/>
      <c r="BF28" s="36">
        <f>BF$26*$Z28</f>
        <v>18241.8023282016</v>
      </c>
      <c r="BG28" s="36">
        <f>BG$26*$Z28</f>
        <v>9120.9011641008001</v>
      </c>
      <c r="BH28" s="2"/>
      <c r="BI28" s="36">
        <f>BI$26*$Z28</f>
        <v>18241.8023282016</v>
      </c>
      <c r="BJ28" s="36">
        <f>BJ$26*$Z28</f>
        <v>27362.703492302397</v>
      </c>
      <c r="BK28" s="2">
        <f t="shared" ref="BK28:BK38" si="47">Z28</f>
        <v>91209.011641007994</v>
      </c>
      <c r="BL28" s="2">
        <f t="shared" ref="BL28:BL38" si="48">SUM(BD28:BJ28)-Z28</f>
        <v>0</v>
      </c>
      <c r="BM28" s="2"/>
    </row>
    <row r="29" spans="1:65" x14ac:dyDescent="0.55000000000000004">
      <c r="A29">
        <f t="shared" si="7"/>
        <v>2002</v>
      </c>
      <c r="B29" s="2">
        <f t="shared" si="14"/>
        <v>14201.243112504944</v>
      </c>
      <c r="C29" s="2"/>
      <c r="D29" s="2">
        <f t="shared" si="15"/>
        <v>15577.039844097912</v>
      </c>
      <c r="E29" s="2">
        <f t="shared" si="16"/>
        <v>7294.7143330245381</v>
      </c>
      <c r="F29" s="2"/>
      <c r="G29" s="2">
        <f t="shared" si="17"/>
        <v>15490.391283038953</v>
      </c>
      <c r="H29" s="2">
        <f t="shared" si="18"/>
        <v>29622.862800766576</v>
      </c>
      <c r="I29" s="2">
        <f t="shared" ref="I29:I38" si="49">SUM(B29:H29)</f>
        <v>82186.251373432926</v>
      </c>
      <c r="J29" s="2">
        <f t="shared" si="19"/>
        <v>-13161.346859575075</v>
      </c>
      <c r="K29" s="6">
        <f t="shared" si="20"/>
        <v>-0.13803543144748875</v>
      </c>
      <c r="L29" s="7">
        <f t="shared" si="21"/>
        <v>0.86196456855251125</v>
      </c>
      <c r="N29">
        <f t="shared" si="22"/>
        <v>2002</v>
      </c>
      <c r="O29" s="2">
        <f t="shared" si="23"/>
        <v>4242.0512568000004</v>
      </c>
      <c r="P29" s="2"/>
      <c r="Q29" s="2"/>
      <c r="R29">
        <f t="shared" si="24"/>
        <v>2002</v>
      </c>
      <c r="S29" s="2">
        <f t="shared" si="25"/>
        <v>13352.832861144943</v>
      </c>
      <c r="T29" s="2"/>
      <c r="U29" s="2">
        <f t="shared" si="26"/>
        <v>14728.629592737911</v>
      </c>
      <c r="V29" s="2">
        <f t="shared" si="27"/>
        <v>6446.304081664538</v>
      </c>
      <c r="W29" s="2"/>
      <c r="X29" s="2">
        <f t="shared" si="28"/>
        <v>14641.981031678952</v>
      </c>
      <c r="Y29" s="2">
        <f t="shared" si="29"/>
        <v>28774.452549406575</v>
      </c>
      <c r="Z29" s="2">
        <f t="shared" si="30"/>
        <v>77944.200116632914</v>
      </c>
      <c r="AA29" s="2">
        <f t="shared" si="31"/>
        <v>-13264.81152437508</v>
      </c>
      <c r="AB29" s="6">
        <f t="shared" si="32"/>
        <v>-0.14543312426829499</v>
      </c>
      <c r="AC29" s="7">
        <f t="shared" si="33"/>
        <v>0.85456687573170498</v>
      </c>
      <c r="AD29" s="2">
        <f t="shared" si="34"/>
        <v>0</v>
      </c>
      <c r="AE29" s="2"/>
      <c r="AG29">
        <f t="shared" si="35"/>
        <v>2002</v>
      </c>
      <c r="AH29" s="6">
        <f t="shared" si="6"/>
        <v>0.17131271911398463</v>
      </c>
      <c r="AI29" s="6"/>
      <c r="AJ29" s="6">
        <f t="shared" si="6"/>
        <v>0.18896376601079382</v>
      </c>
      <c r="AK29" s="6">
        <f t="shared" si="6"/>
        <v>8.2704089233304329E-2</v>
      </c>
      <c r="AL29" s="6"/>
      <c r="AM29" s="6">
        <f t="shared" si="6"/>
        <v>0.18785209174985715</v>
      </c>
      <c r="AN29" s="57">
        <f t="shared" si="36"/>
        <v>0.36916733389206013</v>
      </c>
      <c r="AO29" s="6">
        <f t="shared" si="37"/>
        <v>1</v>
      </c>
      <c r="AP29" s="7">
        <f t="shared" si="38"/>
        <v>0.63083266610793998</v>
      </c>
      <c r="AQ29" s="7">
        <f t="shared" si="39"/>
        <v>0</v>
      </c>
      <c r="AR29" s="22"/>
      <c r="AS29">
        <f t="shared" si="40"/>
        <v>2002</v>
      </c>
      <c r="AT29" s="1" t="b">
        <f t="shared" si="41"/>
        <v>1</v>
      </c>
      <c r="AU29" s="1"/>
      <c r="AV29" s="1" t="b">
        <f t="shared" si="42"/>
        <v>1</v>
      </c>
      <c r="AW29" s="1" t="b">
        <f t="shared" si="43"/>
        <v>1</v>
      </c>
      <c r="AX29" s="1"/>
      <c r="AY29" s="1" t="b">
        <f t="shared" si="13"/>
        <v>1</v>
      </c>
      <c r="AZ29" s="35" t="b">
        <f t="shared" si="44"/>
        <v>0</v>
      </c>
      <c r="BA29" s="1" t="b">
        <f t="shared" si="45"/>
        <v>1</v>
      </c>
      <c r="BC29">
        <f t="shared" si="46"/>
        <v>2002</v>
      </c>
      <c r="BD29" s="36">
        <f>BD$26*$Z29</f>
        <v>15588.840023326584</v>
      </c>
      <c r="BE29" s="2"/>
      <c r="BF29" s="36">
        <f>BF$26*$Z29</f>
        <v>15588.840023326584</v>
      </c>
      <c r="BG29" s="36">
        <f>BG$26*$Z29</f>
        <v>7794.4200116632919</v>
      </c>
      <c r="BH29" s="2"/>
      <c r="BI29" s="36">
        <f>BI$26*$Z29</f>
        <v>15588.840023326584</v>
      </c>
      <c r="BJ29" s="36">
        <f>BJ$26*$Z29</f>
        <v>23383.260034989875</v>
      </c>
      <c r="BK29" s="2">
        <f t="shared" si="47"/>
        <v>77944.200116632914</v>
      </c>
      <c r="BL29" s="2">
        <f t="shared" si="48"/>
        <v>0</v>
      </c>
      <c r="BM29" s="2"/>
    </row>
    <row r="30" spans="1:65" x14ac:dyDescent="0.55000000000000004">
      <c r="A30">
        <f t="shared" si="7"/>
        <v>2003</v>
      </c>
      <c r="B30" s="2">
        <f t="shared" si="14"/>
        <v>20031.659429974658</v>
      </c>
      <c r="C30" s="2"/>
      <c r="D30" s="2">
        <f t="shared" si="15"/>
        <v>20911.181784090746</v>
      </c>
      <c r="E30" s="2">
        <f t="shared" si="16"/>
        <v>11350.857974585018</v>
      </c>
      <c r="F30" s="2"/>
      <c r="G30" s="2">
        <f t="shared" si="17"/>
        <v>21877.378088736528</v>
      </c>
      <c r="H30" s="2">
        <f t="shared" si="18"/>
        <v>24311.575458378975</v>
      </c>
      <c r="I30" s="2">
        <f t="shared" si="49"/>
        <v>98482.652735765936</v>
      </c>
      <c r="J30" s="2">
        <f t="shared" si="19"/>
        <v>16296.40136233301</v>
      </c>
      <c r="K30" s="6">
        <f t="shared" si="20"/>
        <v>0.19828622293875414</v>
      </c>
      <c r="L30" s="7">
        <f t="shared" si="21"/>
        <v>1.1982862229387541</v>
      </c>
      <c r="N30">
        <f t="shared" si="22"/>
        <v>2003</v>
      </c>
      <c r="O30" s="2">
        <f t="shared" si="23"/>
        <v>4326.8922819360005</v>
      </c>
      <c r="P30" s="2"/>
      <c r="Q30" s="2"/>
      <c r="R30">
        <f t="shared" si="24"/>
        <v>2003</v>
      </c>
      <c r="S30" s="2">
        <f t="shared" si="25"/>
        <v>19166.280973587458</v>
      </c>
      <c r="T30" s="2"/>
      <c r="U30" s="2">
        <f t="shared" si="26"/>
        <v>20045.803327703547</v>
      </c>
      <c r="V30" s="2">
        <f t="shared" si="27"/>
        <v>10485.479518197819</v>
      </c>
      <c r="W30" s="2"/>
      <c r="X30" s="2">
        <f t="shared" si="28"/>
        <v>21011.999632349329</v>
      </c>
      <c r="Y30" s="2">
        <f t="shared" si="29"/>
        <v>23446.197001991775</v>
      </c>
      <c r="Z30" s="2">
        <f t="shared" si="30"/>
        <v>94155.760453829935</v>
      </c>
      <c r="AA30" s="2">
        <f t="shared" si="31"/>
        <v>16211.560337197021</v>
      </c>
      <c r="AB30" s="6">
        <f t="shared" si="32"/>
        <v>0.20798930918450151</v>
      </c>
      <c r="AC30" s="7">
        <f t="shared" si="33"/>
        <v>1.2079893091845015</v>
      </c>
      <c r="AD30" s="2">
        <f t="shared" si="34"/>
        <v>0</v>
      </c>
      <c r="AE30" s="2"/>
      <c r="AG30">
        <f t="shared" si="35"/>
        <v>2003</v>
      </c>
      <c r="AH30" s="6">
        <f t="shared" si="6"/>
        <v>0.20355930302305619</v>
      </c>
      <c r="AI30" s="6"/>
      <c r="AJ30" s="6">
        <f t="shared" si="6"/>
        <v>0.21290044529493418</v>
      </c>
      <c r="AK30" s="6">
        <f t="shared" si="6"/>
        <v>0.11136312284726818</v>
      </c>
      <c r="AL30" s="6"/>
      <c r="AM30" s="6">
        <f t="shared" si="6"/>
        <v>0.2231621255149093</v>
      </c>
      <c r="AN30" s="6">
        <f t="shared" si="36"/>
        <v>0.24901500331983209</v>
      </c>
      <c r="AO30" s="6">
        <f t="shared" si="37"/>
        <v>1</v>
      </c>
      <c r="AP30" s="7">
        <f t="shared" si="38"/>
        <v>0.75098499668016794</v>
      </c>
      <c r="AQ30" s="7">
        <f t="shared" si="39"/>
        <v>0</v>
      </c>
      <c r="AR30" s="22"/>
      <c r="AS30">
        <f t="shared" si="40"/>
        <v>2003</v>
      </c>
      <c r="AT30" s="1" t="b">
        <f t="shared" si="41"/>
        <v>1</v>
      </c>
      <c r="AU30" s="1"/>
      <c r="AV30" s="1" t="b">
        <f t="shared" si="42"/>
        <v>1</v>
      </c>
      <c r="AW30" s="1" t="b">
        <f t="shared" si="43"/>
        <v>1</v>
      </c>
      <c r="AX30" s="1"/>
      <c r="AY30" s="1" t="b">
        <f t="shared" si="13"/>
        <v>1</v>
      </c>
      <c r="AZ30" s="1" t="b">
        <f t="shared" si="44"/>
        <v>0</v>
      </c>
      <c r="BA30" s="1" t="b">
        <f t="shared" si="45"/>
        <v>1</v>
      </c>
      <c r="BC30">
        <f t="shared" si="46"/>
        <v>2003</v>
      </c>
      <c r="BD30" s="2">
        <f t="shared" ref="BD30:BD38" si="50">S30</f>
        <v>19166.280973587458</v>
      </c>
      <c r="BE30" s="2"/>
      <c r="BF30" s="2">
        <f t="shared" ref="BF30:BF38" si="51">U30</f>
        <v>20045.803327703547</v>
      </c>
      <c r="BG30" s="2">
        <f t="shared" ref="BG30:BG38" si="52">V30</f>
        <v>10485.479518197819</v>
      </c>
      <c r="BH30" s="2"/>
      <c r="BI30" s="2">
        <f t="shared" ref="BI30:BI38" si="53">X30</f>
        <v>21011.999632349329</v>
      </c>
      <c r="BJ30" s="2">
        <f t="shared" ref="BJ30:BJ38" si="54">Y30</f>
        <v>23446.197001991775</v>
      </c>
      <c r="BK30" s="2">
        <f t="shared" si="47"/>
        <v>94155.760453829935</v>
      </c>
      <c r="BL30" s="2">
        <f t="shared" si="48"/>
        <v>0</v>
      </c>
      <c r="BM30" s="2"/>
    </row>
    <row r="31" spans="1:65" x14ac:dyDescent="0.55000000000000004">
      <c r="A31">
        <f t="shared" si="7"/>
        <v>2004</v>
      </c>
      <c r="B31" s="2">
        <f t="shared" si="14"/>
        <v>21224.739550150749</v>
      </c>
      <c r="C31" s="2"/>
      <c r="D31" s="2">
        <f t="shared" si="15"/>
        <v>24125.72567899105</v>
      </c>
      <c r="E31" s="2">
        <f t="shared" si="16"/>
        <v>12571.77537793364</v>
      </c>
      <c r="F31" s="2"/>
      <c r="G31" s="2">
        <f t="shared" si="17"/>
        <v>25390.269995741957</v>
      </c>
      <c r="H31" s="2">
        <f t="shared" si="18"/>
        <v>24440.315754876225</v>
      </c>
      <c r="I31" s="2">
        <f t="shared" si="49"/>
        <v>107752.82635769363</v>
      </c>
      <c r="J31" s="2">
        <f t="shared" si="19"/>
        <v>9270.1736219276936</v>
      </c>
      <c r="K31" s="6">
        <f t="shared" si="20"/>
        <v>9.413001543327687E-2</v>
      </c>
      <c r="L31" s="7">
        <f t="shared" si="21"/>
        <v>1.0941300154332769</v>
      </c>
      <c r="N31">
        <f t="shared" si="22"/>
        <v>2004</v>
      </c>
      <c r="O31" s="2">
        <f t="shared" si="23"/>
        <v>4469.6797272398881</v>
      </c>
      <c r="P31" s="2"/>
      <c r="Q31" s="2"/>
      <c r="R31">
        <f t="shared" si="24"/>
        <v>2004</v>
      </c>
      <c r="S31" s="2">
        <f t="shared" si="25"/>
        <v>20330.803604702771</v>
      </c>
      <c r="T31" s="2"/>
      <c r="U31" s="2">
        <f t="shared" si="26"/>
        <v>23231.789733543072</v>
      </c>
      <c r="V31" s="2">
        <f t="shared" si="27"/>
        <v>11677.839432485662</v>
      </c>
      <c r="W31" s="2"/>
      <c r="X31" s="2">
        <f t="shared" si="28"/>
        <v>24496.334050293979</v>
      </c>
      <c r="Y31" s="2">
        <f t="shared" si="29"/>
        <v>23546.379809428247</v>
      </c>
      <c r="Z31" s="2">
        <f t="shared" si="30"/>
        <v>103283.14663045373</v>
      </c>
      <c r="AA31" s="2">
        <f t="shared" si="31"/>
        <v>9127.3861766237969</v>
      </c>
      <c r="AB31" s="6">
        <f t="shared" si="32"/>
        <v>9.6939222121194449E-2</v>
      </c>
      <c r="AC31" s="7">
        <f t="shared" si="33"/>
        <v>1.0969392221211944</v>
      </c>
      <c r="AD31" s="2">
        <f t="shared" si="34"/>
        <v>0</v>
      </c>
      <c r="AE31" s="2"/>
      <c r="AG31">
        <f t="shared" si="35"/>
        <v>2004</v>
      </c>
      <c r="AH31" s="6">
        <f t="shared" si="6"/>
        <v>0.19684531569749925</v>
      </c>
      <c r="AI31" s="56"/>
      <c r="AJ31" s="6">
        <f t="shared" si="6"/>
        <v>0.22493301658078088</v>
      </c>
      <c r="AK31" s="6">
        <f t="shared" si="6"/>
        <v>0.11306626311714608</v>
      </c>
      <c r="AL31" s="56"/>
      <c r="AM31" s="6">
        <f t="shared" si="6"/>
        <v>0.23717648860894669</v>
      </c>
      <c r="AN31" s="6">
        <f t="shared" si="36"/>
        <v>0.22797891599562708</v>
      </c>
      <c r="AO31" s="6">
        <f t="shared" si="37"/>
        <v>1</v>
      </c>
      <c r="AP31" s="7">
        <f t="shared" si="38"/>
        <v>0.77202108400437286</v>
      </c>
      <c r="AQ31" s="7">
        <f t="shared" si="39"/>
        <v>0</v>
      </c>
      <c r="AR31" s="22"/>
      <c r="AS31">
        <f t="shared" si="40"/>
        <v>2004</v>
      </c>
      <c r="AT31" s="1" t="b">
        <f t="shared" si="41"/>
        <v>1</v>
      </c>
      <c r="AU31" s="1"/>
      <c r="AV31" s="1" t="b">
        <f t="shared" si="42"/>
        <v>1</v>
      </c>
      <c r="AW31" s="1" t="b">
        <f t="shared" si="43"/>
        <v>1</v>
      </c>
      <c r="AX31" s="1"/>
      <c r="AY31" s="1" t="b">
        <f t="shared" si="13"/>
        <v>1</v>
      </c>
      <c r="AZ31" s="35" t="b">
        <f t="shared" si="44"/>
        <v>0</v>
      </c>
      <c r="BA31" s="1" t="b">
        <f t="shared" si="45"/>
        <v>1</v>
      </c>
      <c r="BC31">
        <f t="shared" si="46"/>
        <v>2004</v>
      </c>
      <c r="BD31" s="36">
        <f>BD$26*$Z31</f>
        <v>20656.629326090748</v>
      </c>
      <c r="BE31" s="2"/>
      <c r="BF31" s="36">
        <f>BF$26*$Z31</f>
        <v>20656.629326090748</v>
      </c>
      <c r="BG31" s="36">
        <f>BG$26*$Z31</f>
        <v>10328.314663045374</v>
      </c>
      <c r="BH31" s="2"/>
      <c r="BI31" s="36">
        <f>BI$26*$Z31</f>
        <v>20656.629326090748</v>
      </c>
      <c r="BJ31" s="36">
        <f>BJ$26*$Z31</f>
        <v>30984.943989136118</v>
      </c>
      <c r="BK31" s="2">
        <f t="shared" si="47"/>
        <v>103283.14663045373</v>
      </c>
      <c r="BL31" s="2">
        <f t="shared" si="48"/>
        <v>0</v>
      </c>
      <c r="BM31" s="2"/>
    </row>
    <row r="32" spans="1:65" x14ac:dyDescent="0.55000000000000004">
      <c r="A32">
        <f t="shared" si="7"/>
        <v>2005</v>
      </c>
      <c r="B32" s="2">
        <f t="shared" si="14"/>
        <v>21641.950544945277</v>
      </c>
      <c r="C32" s="2"/>
      <c r="D32" s="2">
        <f t="shared" si="15"/>
        <v>23534.304357508452</v>
      </c>
      <c r="E32" s="2">
        <f t="shared" si="16"/>
        <v>11088.788471685406</v>
      </c>
      <c r="F32" s="2"/>
      <c r="G32" s="2">
        <f t="shared" si="17"/>
        <v>23873.073078456338</v>
      </c>
      <c r="H32" s="2">
        <f t="shared" si="18"/>
        <v>31728.582644875387</v>
      </c>
      <c r="I32" s="2">
        <f t="shared" si="49"/>
        <v>111866.69909747085</v>
      </c>
      <c r="J32" s="2">
        <f t="shared" si="19"/>
        <v>4113.8727397772163</v>
      </c>
      <c r="K32" s="6">
        <f t="shared" si="20"/>
        <v>3.8178791952249172E-2</v>
      </c>
      <c r="L32" s="7">
        <f t="shared" si="21"/>
        <v>1.0381787919522492</v>
      </c>
      <c r="N32">
        <f t="shared" si="22"/>
        <v>2005</v>
      </c>
      <c r="O32" s="2">
        <f t="shared" si="23"/>
        <v>4617.1791582388041</v>
      </c>
      <c r="P32" s="2"/>
      <c r="Q32" s="2"/>
      <c r="R32">
        <f t="shared" si="24"/>
        <v>2005</v>
      </c>
      <c r="S32" s="2">
        <f t="shared" si="25"/>
        <v>20718.514713297518</v>
      </c>
      <c r="T32" s="2"/>
      <c r="U32" s="2">
        <f t="shared" si="26"/>
        <v>22610.868525860693</v>
      </c>
      <c r="V32" s="2">
        <f t="shared" si="27"/>
        <v>10165.352640037645</v>
      </c>
      <c r="W32" s="2"/>
      <c r="X32" s="2">
        <f t="shared" si="28"/>
        <v>22949.637246808579</v>
      </c>
      <c r="Y32" s="2">
        <f t="shared" si="29"/>
        <v>30805.146813227628</v>
      </c>
      <c r="Z32" s="2">
        <f t="shared" si="30"/>
        <v>107249.51993923206</v>
      </c>
      <c r="AA32" s="2">
        <f t="shared" si="31"/>
        <v>3966.373308778333</v>
      </c>
      <c r="AB32" s="6">
        <f t="shared" si="32"/>
        <v>3.8402909266213439E-2</v>
      </c>
      <c r="AC32" s="7">
        <f t="shared" si="33"/>
        <v>1.0384029092662135</v>
      </c>
      <c r="AD32" s="2">
        <f t="shared" si="34"/>
        <v>0</v>
      </c>
      <c r="AE32" s="2"/>
      <c r="AG32">
        <f t="shared" si="35"/>
        <v>2005</v>
      </c>
      <c r="AH32" s="6">
        <f t="shared" si="6"/>
        <v>0.19318048905987362</v>
      </c>
      <c r="AI32" s="6"/>
      <c r="AJ32" s="6">
        <f t="shared" si="6"/>
        <v>0.21082489263049464</v>
      </c>
      <c r="AK32" s="6">
        <f t="shared" si="6"/>
        <v>9.4782267051613536E-2</v>
      </c>
      <c r="AL32" s="6"/>
      <c r="AM32" s="6">
        <f t="shared" si="6"/>
        <v>0.21398358948191024</v>
      </c>
      <c r="AN32" s="6">
        <f t="shared" si="36"/>
        <v>0.28722876177610795</v>
      </c>
      <c r="AO32" s="6">
        <f t="shared" si="37"/>
        <v>1</v>
      </c>
      <c r="AP32" s="7">
        <f t="shared" si="38"/>
        <v>0.71277123822389199</v>
      </c>
      <c r="AQ32" s="7">
        <f t="shared" si="39"/>
        <v>0</v>
      </c>
      <c r="AR32" s="22"/>
      <c r="AS32">
        <f t="shared" si="40"/>
        <v>2005</v>
      </c>
      <c r="AT32" s="1" t="b">
        <f t="shared" si="41"/>
        <v>1</v>
      </c>
      <c r="AU32" s="1"/>
      <c r="AV32" s="1" t="b">
        <f t="shared" si="42"/>
        <v>1</v>
      </c>
      <c r="AW32" s="1" t="b">
        <f t="shared" si="43"/>
        <v>1</v>
      </c>
      <c r="AX32" s="1"/>
      <c r="AY32" s="1" t="b">
        <f t="shared" si="13"/>
        <v>1</v>
      </c>
      <c r="AZ32" s="1" t="b">
        <f t="shared" si="44"/>
        <v>1</v>
      </c>
      <c r="BA32" s="1" t="b">
        <f t="shared" si="45"/>
        <v>1</v>
      </c>
      <c r="BC32">
        <f t="shared" si="46"/>
        <v>2005</v>
      </c>
      <c r="BD32" s="2">
        <f t="shared" si="50"/>
        <v>20718.514713297518</v>
      </c>
      <c r="BE32" s="2"/>
      <c r="BF32" s="2">
        <f t="shared" si="51"/>
        <v>22610.868525860693</v>
      </c>
      <c r="BG32" s="2">
        <f t="shared" si="52"/>
        <v>10165.352640037645</v>
      </c>
      <c r="BH32" s="2"/>
      <c r="BI32" s="2">
        <f t="shared" si="53"/>
        <v>22949.637246808579</v>
      </c>
      <c r="BJ32" s="2">
        <f t="shared" si="54"/>
        <v>30805.146813227628</v>
      </c>
      <c r="BK32" s="2">
        <f t="shared" si="47"/>
        <v>107249.51993923206</v>
      </c>
      <c r="BL32" s="2">
        <f t="shared" si="48"/>
        <v>0</v>
      </c>
      <c r="BM32" s="2"/>
    </row>
    <row r="33" spans="1:65" x14ac:dyDescent="0.55000000000000004">
      <c r="A33">
        <f t="shared" si="7"/>
        <v>2006</v>
      </c>
      <c r="B33" s="2">
        <f t="shared" si="14"/>
        <v>23958.890414457252</v>
      </c>
      <c r="C33" s="2"/>
      <c r="D33" s="2">
        <f t="shared" si="15"/>
        <v>25685.268319321971</v>
      </c>
      <c r="E33" s="2">
        <f t="shared" si="16"/>
        <v>11756.84024936194</v>
      </c>
      <c r="F33" s="2"/>
      <c r="G33" s="2">
        <f t="shared" si="17"/>
        <v>29062.73212024098</v>
      </c>
      <c r="H33" s="2">
        <f t="shared" si="18"/>
        <v>32120.526582152444</v>
      </c>
      <c r="I33" s="2">
        <f t="shared" si="49"/>
        <v>122584.2576855346</v>
      </c>
      <c r="J33" s="2">
        <f t="shared" si="19"/>
        <v>10717.558588063752</v>
      </c>
      <c r="K33" s="6">
        <f t="shared" si="20"/>
        <v>9.5806515026651579E-2</v>
      </c>
      <c r="L33" s="7">
        <f t="shared" si="21"/>
        <v>1.0958065150266516</v>
      </c>
      <c r="N33">
        <f t="shared" si="22"/>
        <v>2006</v>
      </c>
      <c r="O33" s="2">
        <f t="shared" si="23"/>
        <v>4732.608637194774</v>
      </c>
      <c r="P33" s="2"/>
      <c r="Q33" s="2"/>
      <c r="R33">
        <f t="shared" si="24"/>
        <v>2006</v>
      </c>
      <c r="S33" s="2">
        <f t="shared" si="25"/>
        <v>23012.368687018297</v>
      </c>
      <c r="T33" s="2"/>
      <c r="U33" s="2">
        <f t="shared" si="26"/>
        <v>24738.746591883017</v>
      </c>
      <c r="V33" s="2">
        <f t="shared" si="27"/>
        <v>10810.318521922985</v>
      </c>
      <c r="W33" s="2"/>
      <c r="X33" s="2">
        <f t="shared" si="28"/>
        <v>28116.210392802026</v>
      </c>
      <c r="Y33" s="2">
        <f t="shared" si="29"/>
        <v>31174.00485471349</v>
      </c>
      <c r="Z33" s="2">
        <f t="shared" si="30"/>
        <v>117851.64904833982</v>
      </c>
      <c r="AA33" s="2">
        <f t="shared" si="31"/>
        <v>10602.129109107758</v>
      </c>
      <c r="AB33" s="6">
        <f t="shared" si="32"/>
        <v>9.8854793150728884E-2</v>
      </c>
      <c r="AC33" s="7">
        <f t="shared" si="33"/>
        <v>1.0988547931507289</v>
      </c>
      <c r="AD33" s="2">
        <f t="shared" si="34"/>
        <v>0</v>
      </c>
      <c r="AE33" s="2"/>
      <c r="AG33">
        <f t="shared" si="35"/>
        <v>2006</v>
      </c>
      <c r="AH33" s="6">
        <f t="shared" si="6"/>
        <v>0.19526556372222839</v>
      </c>
      <c r="AI33" s="6"/>
      <c r="AJ33" s="6">
        <f t="shared" si="6"/>
        <v>0.20991430151084095</v>
      </c>
      <c r="AK33" s="6">
        <f t="shared" si="6"/>
        <v>9.1728190561753284E-2</v>
      </c>
      <c r="AL33" s="6"/>
      <c r="AM33" s="6">
        <f t="shared" si="6"/>
        <v>0.23857290602076731</v>
      </c>
      <c r="AN33" s="6">
        <f t="shared" si="36"/>
        <v>0.26451903818441003</v>
      </c>
      <c r="AO33" s="6">
        <f t="shared" si="37"/>
        <v>1</v>
      </c>
      <c r="AP33" s="7">
        <f t="shared" si="38"/>
        <v>0.73548096181558997</v>
      </c>
      <c r="AQ33" s="7">
        <f t="shared" si="39"/>
        <v>0</v>
      </c>
      <c r="AR33" s="22"/>
      <c r="AS33">
        <f t="shared" si="40"/>
        <v>2006</v>
      </c>
      <c r="AT33" s="1" t="b">
        <f t="shared" si="41"/>
        <v>1</v>
      </c>
      <c r="AU33" s="1"/>
      <c r="AV33" s="1" t="b">
        <f t="shared" si="42"/>
        <v>1</v>
      </c>
      <c r="AW33" s="1" t="b">
        <f t="shared" si="43"/>
        <v>1</v>
      </c>
      <c r="AX33" s="1"/>
      <c r="AY33" s="1" t="b">
        <f t="shared" si="13"/>
        <v>1</v>
      </c>
      <c r="AZ33" s="1" t="b">
        <f t="shared" si="44"/>
        <v>1</v>
      </c>
      <c r="BA33" s="1" t="b">
        <f t="shared" si="45"/>
        <v>1</v>
      </c>
      <c r="BC33">
        <f t="shared" si="46"/>
        <v>2006</v>
      </c>
      <c r="BD33" s="2">
        <f t="shared" ref="BD33" si="55">S33</f>
        <v>23012.368687018297</v>
      </c>
      <c r="BE33" s="2"/>
      <c r="BF33" s="2">
        <f t="shared" ref="BF33" si="56">U33</f>
        <v>24738.746591883017</v>
      </c>
      <c r="BG33" s="2">
        <f t="shared" ref="BG33" si="57">V33</f>
        <v>10810.318521922985</v>
      </c>
      <c r="BH33" s="2"/>
      <c r="BI33" s="2">
        <f t="shared" ref="BI33" si="58">X33</f>
        <v>28116.210392802026</v>
      </c>
      <c r="BJ33" s="2">
        <f t="shared" ref="BJ33" si="59">Y33</f>
        <v>31174.00485471349</v>
      </c>
      <c r="BK33" s="2">
        <f t="shared" si="47"/>
        <v>117851.64904833982</v>
      </c>
      <c r="BL33" s="2">
        <f t="shared" si="48"/>
        <v>0</v>
      </c>
      <c r="BM33" s="2"/>
    </row>
    <row r="34" spans="1:65" x14ac:dyDescent="0.55000000000000004">
      <c r="A34">
        <f t="shared" si="7"/>
        <v>2007</v>
      </c>
      <c r="B34" s="2">
        <f t="shared" si="14"/>
        <v>24252.735359248585</v>
      </c>
      <c r="C34" s="2"/>
      <c r="D34" s="2">
        <f t="shared" si="15"/>
        <v>26228.266524180297</v>
      </c>
      <c r="E34" s="2">
        <f t="shared" si="16"/>
        <v>10935.285804036415</v>
      </c>
      <c r="F34" s="2"/>
      <c r="G34" s="2">
        <f t="shared" si="17"/>
        <v>32480.408569972755</v>
      </c>
      <c r="H34" s="2">
        <f t="shared" si="18"/>
        <v>33331.245990659663</v>
      </c>
      <c r="I34" s="2">
        <f t="shared" si="49"/>
        <v>127227.94224809771</v>
      </c>
      <c r="J34" s="2">
        <f t="shared" si="19"/>
        <v>4643.6845625631104</v>
      </c>
      <c r="K34" s="6">
        <f t="shared" si="20"/>
        <v>3.7881573460073106E-2</v>
      </c>
      <c r="L34" s="7">
        <f t="shared" si="21"/>
        <v>1.037881573460073</v>
      </c>
      <c r="N34">
        <f t="shared" si="22"/>
        <v>2007</v>
      </c>
      <c r="O34" s="2">
        <f t="shared" si="23"/>
        <v>4926.6455913197597</v>
      </c>
      <c r="P34" s="2"/>
      <c r="Q34" s="2"/>
      <c r="R34">
        <f t="shared" si="24"/>
        <v>2007</v>
      </c>
      <c r="S34" s="2">
        <f t="shared" si="25"/>
        <v>23267.406240984634</v>
      </c>
      <c r="T34" s="2"/>
      <c r="U34" s="2">
        <f t="shared" si="26"/>
        <v>25242.937405916346</v>
      </c>
      <c r="V34" s="2">
        <f t="shared" si="27"/>
        <v>9949.956685772464</v>
      </c>
      <c r="W34" s="2"/>
      <c r="X34" s="2">
        <f t="shared" si="28"/>
        <v>31495.079451708803</v>
      </c>
      <c r="Y34" s="2">
        <f t="shared" si="29"/>
        <v>32345.916872395712</v>
      </c>
      <c r="Z34" s="2">
        <f t="shared" si="30"/>
        <v>122301.29665677795</v>
      </c>
      <c r="AA34" s="2">
        <f t="shared" si="31"/>
        <v>4449.6476084381284</v>
      </c>
      <c r="AB34" s="6">
        <f t="shared" si="32"/>
        <v>3.7756345747975012E-2</v>
      </c>
      <c r="AC34" s="7">
        <f t="shared" si="33"/>
        <v>1.037756345747975</v>
      </c>
      <c r="AD34" s="2">
        <f t="shared" si="34"/>
        <v>0</v>
      </c>
      <c r="AE34" s="2"/>
      <c r="AG34">
        <f t="shared" si="35"/>
        <v>2007</v>
      </c>
      <c r="AH34" s="6">
        <f t="shared" si="6"/>
        <v>0.19024660307798258</v>
      </c>
      <c r="AI34" s="6"/>
      <c r="AJ34" s="6">
        <f t="shared" si="6"/>
        <v>0.20639958934169958</v>
      </c>
      <c r="AK34" s="6">
        <f t="shared" si="6"/>
        <v>8.1356101347769619E-2</v>
      </c>
      <c r="AL34" s="6"/>
      <c r="AM34" s="57">
        <f t="shared" si="6"/>
        <v>0.25752040503785895</v>
      </c>
      <c r="AN34" s="6">
        <f t="shared" si="36"/>
        <v>0.26447730119468932</v>
      </c>
      <c r="AO34" s="6">
        <f t="shared" si="37"/>
        <v>1</v>
      </c>
      <c r="AP34" s="7">
        <f t="shared" si="38"/>
        <v>0.73552269880531074</v>
      </c>
      <c r="AQ34" s="7">
        <f t="shared" si="39"/>
        <v>0</v>
      </c>
      <c r="AR34" s="22"/>
      <c r="AS34">
        <f t="shared" si="40"/>
        <v>2007</v>
      </c>
      <c r="AT34" s="1" t="b">
        <f t="shared" si="41"/>
        <v>1</v>
      </c>
      <c r="AU34" s="1"/>
      <c r="AV34" s="1" t="b">
        <f t="shared" si="42"/>
        <v>1</v>
      </c>
      <c r="AW34" s="1" t="b">
        <f t="shared" si="43"/>
        <v>1</v>
      </c>
      <c r="AX34" s="1"/>
      <c r="AY34" s="35" t="b">
        <f t="shared" si="13"/>
        <v>0</v>
      </c>
      <c r="AZ34" s="1" t="b">
        <f t="shared" si="44"/>
        <v>1</v>
      </c>
      <c r="BA34" s="1" t="b">
        <f t="shared" si="45"/>
        <v>1</v>
      </c>
      <c r="BC34">
        <f t="shared" si="46"/>
        <v>2007</v>
      </c>
      <c r="BD34" s="36">
        <f>BD$26*$Z34</f>
        <v>24460.259331355592</v>
      </c>
      <c r="BE34" s="2"/>
      <c r="BF34" s="36">
        <f t="shared" ref="BF34:BG35" si="60">BF$26*$Z34</f>
        <v>24460.259331355592</v>
      </c>
      <c r="BG34" s="36">
        <f t="shared" si="60"/>
        <v>12230.129665677796</v>
      </c>
      <c r="BH34" s="2"/>
      <c r="BI34" s="36">
        <f t="shared" ref="BI34:BJ35" si="61">BI$26*$Z34</f>
        <v>24460.259331355592</v>
      </c>
      <c r="BJ34" s="36">
        <f t="shared" si="61"/>
        <v>36690.388997033384</v>
      </c>
      <c r="BK34" s="2">
        <f t="shared" si="47"/>
        <v>122301.29665677795</v>
      </c>
      <c r="BL34" s="2">
        <f t="shared" si="48"/>
        <v>0</v>
      </c>
      <c r="BM34" s="2"/>
    </row>
    <row r="35" spans="1:65" x14ac:dyDescent="0.55000000000000004">
      <c r="A35">
        <f t="shared" si="7"/>
        <v>2008</v>
      </c>
      <c r="B35" s="2">
        <f t="shared" si="14"/>
        <v>15405.07132688775</v>
      </c>
      <c r="C35" s="2"/>
      <c r="D35" s="2">
        <f t="shared" si="15"/>
        <v>14230.000468609431</v>
      </c>
      <c r="E35" s="2">
        <f t="shared" si="16"/>
        <v>7818.7218952678149</v>
      </c>
      <c r="F35" s="2"/>
      <c r="G35" s="2">
        <f t="shared" si="17"/>
        <v>13673.040363634462</v>
      </c>
      <c r="H35" s="2">
        <f t="shared" si="18"/>
        <v>38543.25364138357</v>
      </c>
      <c r="I35" s="2">
        <f t="shared" si="49"/>
        <v>89670.087695783033</v>
      </c>
      <c r="J35" s="2">
        <f t="shared" si="19"/>
        <v>-37557.854552314675</v>
      </c>
      <c r="K35" s="6">
        <f t="shared" si="20"/>
        <v>-0.29520130475014605</v>
      </c>
      <c r="L35" s="7">
        <f t="shared" si="21"/>
        <v>0.70479869524985395</v>
      </c>
      <c r="N35">
        <f t="shared" si="22"/>
        <v>2008</v>
      </c>
      <c r="O35" s="2">
        <f t="shared" si="23"/>
        <v>4926.6455913197597</v>
      </c>
      <c r="P35" s="2"/>
      <c r="Q35" s="2"/>
      <c r="R35">
        <f t="shared" si="24"/>
        <v>2008</v>
      </c>
      <c r="S35" s="2">
        <f t="shared" si="25"/>
        <v>14419.742208623798</v>
      </c>
      <c r="T35" s="2"/>
      <c r="U35" s="2">
        <f t="shared" si="26"/>
        <v>13244.671350345479</v>
      </c>
      <c r="V35" s="2">
        <f t="shared" si="27"/>
        <v>6833.3927770038626</v>
      </c>
      <c r="W35" s="2"/>
      <c r="X35" s="2">
        <f t="shared" si="28"/>
        <v>12687.71124537051</v>
      </c>
      <c r="Y35" s="2">
        <f t="shared" si="29"/>
        <v>37557.924523119618</v>
      </c>
      <c r="Z35" s="2">
        <f t="shared" si="30"/>
        <v>84743.442104463262</v>
      </c>
      <c r="AA35" s="2">
        <f t="shared" si="31"/>
        <v>-37557.854552314689</v>
      </c>
      <c r="AB35" s="6">
        <f t="shared" si="32"/>
        <v>-0.30709285656811741</v>
      </c>
      <c r="AC35" s="7">
        <f t="shared" si="33"/>
        <v>0.69290714343188253</v>
      </c>
      <c r="AD35" s="2">
        <f t="shared" si="34"/>
        <v>0</v>
      </c>
      <c r="AE35" s="2"/>
      <c r="AG35">
        <f t="shared" si="35"/>
        <v>2008</v>
      </c>
      <c r="AH35" s="6">
        <f t="shared" si="6"/>
        <v>0.17015761751627434</v>
      </c>
      <c r="AI35" s="6"/>
      <c r="AJ35" s="6">
        <f t="shared" si="6"/>
        <v>0.15629140168768185</v>
      </c>
      <c r="AK35" s="6">
        <f t="shared" si="6"/>
        <v>8.0636242844376538E-2</v>
      </c>
      <c r="AL35" s="6"/>
      <c r="AM35" s="57">
        <f t="shared" si="6"/>
        <v>0.14971909247833437</v>
      </c>
      <c r="AN35" s="57">
        <f t="shared" si="36"/>
        <v>0.44319564547333296</v>
      </c>
      <c r="AO35" s="6">
        <f t="shared" si="37"/>
        <v>1</v>
      </c>
      <c r="AP35" s="7">
        <f t="shared" si="38"/>
        <v>0.5568043545266671</v>
      </c>
      <c r="AQ35" s="7">
        <f t="shared" si="39"/>
        <v>0</v>
      </c>
      <c r="AR35" s="22"/>
      <c r="AS35">
        <f t="shared" si="40"/>
        <v>2008</v>
      </c>
      <c r="AT35" s="1" t="b">
        <f t="shared" si="41"/>
        <v>1</v>
      </c>
      <c r="AU35" s="1"/>
      <c r="AV35" s="1" t="b">
        <f t="shared" si="42"/>
        <v>1</v>
      </c>
      <c r="AW35" s="1" t="b">
        <f t="shared" si="43"/>
        <v>1</v>
      </c>
      <c r="AX35" s="1"/>
      <c r="AY35" s="35" t="b">
        <f t="shared" si="13"/>
        <v>0</v>
      </c>
      <c r="AZ35" s="35" t="b">
        <f t="shared" si="44"/>
        <v>0</v>
      </c>
      <c r="BA35" s="1" t="b">
        <f t="shared" si="45"/>
        <v>1</v>
      </c>
      <c r="BC35">
        <f t="shared" si="46"/>
        <v>2008</v>
      </c>
      <c r="BD35" s="36">
        <f>BD$26*$Z35</f>
        <v>16948.688420892653</v>
      </c>
      <c r="BE35" s="2"/>
      <c r="BF35" s="36">
        <f t="shared" si="60"/>
        <v>16948.688420892653</v>
      </c>
      <c r="BG35" s="36">
        <f t="shared" si="60"/>
        <v>8474.3442104463265</v>
      </c>
      <c r="BH35" s="2"/>
      <c r="BI35" s="36">
        <f t="shared" si="61"/>
        <v>16948.688420892653</v>
      </c>
      <c r="BJ35" s="36">
        <f t="shared" si="61"/>
        <v>25423.032631338978</v>
      </c>
      <c r="BK35" s="2">
        <f t="shared" si="47"/>
        <v>84743.442104463262</v>
      </c>
      <c r="BL35" s="2">
        <f t="shared" si="48"/>
        <v>0</v>
      </c>
      <c r="BM35" s="2"/>
    </row>
    <row r="36" spans="1:65" x14ac:dyDescent="0.55000000000000004">
      <c r="A36">
        <f t="shared" si="7"/>
        <v>2009</v>
      </c>
      <c r="B36" s="2">
        <f t="shared" si="14"/>
        <v>21438.395983587114</v>
      </c>
      <c r="C36" s="2"/>
      <c r="D36" s="2">
        <f t="shared" si="15"/>
        <v>23765.111930007261</v>
      </c>
      <c r="E36" s="2">
        <f t="shared" si="16"/>
        <v>11535.107852375331</v>
      </c>
      <c r="F36" s="2"/>
      <c r="G36" s="2">
        <f t="shared" si="17"/>
        <v>23173.433217233898</v>
      </c>
      <c r="H36" s="2">
        <f t="shared" si="18"/>
        <v>26930.618466377378</v>
      </c>
      <c r="I36" s="2">
        <f t="shared" si="49"/>
        <v>106842.66744958097</v>
      </c>
      <c r="J36" s="2">
        <f t="shared" si="19"/>
        <v>17172.579753797938</v>
      </c>
      <c r="K36" s="6">
        <f t="shared" si="20"/>
        <v>0.19150845276362458</v>
      </c>
      <c r="L36" s="7">
        <f t="shared" si="21"/>
        <v>1.1915084527636246</v>
      </c>
      <c r="N36">
        <f t="shared" si="22"/>
        <v>2009</v>
      </c>
      <c r="O36" s="2">
        <f t="shared" si="23"/>
        <v>5064.5916678767135</v>
      </c>
      <c r="P36" s="2"/>
      <c r="Q36" s="2"/>
      <c r="R36">
        <f t="shared" si="24"/>
        <v>2009</v>
      </c>
      <c r="S36" s="2">
        <f t="shared" si="25"/>
        <v>20425.47765001177</v>
      </c>
      <c r="T36" s="2"/>
      <c r="U36" s="2">
        <f t="shared" si="26"/>
        <v>22752.193596431916</v>
      </c>
      <c r="V36" s="2">
        <f t="shared" si="27"/>
        <v>10522.189518799989</v>
      </c>
      <c r="W36" s="2"/>
      <c r="X36" s="2">
        <f t="shared" si="28"/>
        <v>22160.514883658554</v>
      </c>
      <c r="Y36" s="2">
        <f t="shared" si="29"/>
        <v>25917.700132802034</v>
      </c>
      <c r="Z36" s="2">
        <f t="shared" si="30"/>
        <v>101778.07578170428</v>
      </c>
      <c r="AA36" s="2">
        <f t="shared" si="31"/>
        <v>17034.633677241014</v>
      </c>
      <c r="AB36" s="6">
        <f t="shared" si="32"/>
        <v>0.2010141817964205</v>
      </c>
      <c r="AC36" s="7">
        <f t="shared" si="33"/>
        <v>1.2010141817964204</v>
      </c>
      <c r="AD36" s="2">
        <f t="shared" si="34"/>
        <v>0</v>
      </c>
      <c r="AE36" s="2"/>
      <c r="AG36">
        <f t="shared" si="35"/>
        <v>2009</v>
      </c>
      <c r="AH36" s="6">
        <f t="shared" si="6"/>
        <v>0.20068641987121821</v>
      </c>
      <c r="AI36" s="6"/>
      <c r="AJ36" s="6">
        <f t="shared" si="6"/>
        <v>0.22354709913391654</v>
      </c>
      <c r="AK36" s="6">
        <f t="shared" si="6"/>
        <v>0.10338365544823425</v>
      </c>
      <c r="AL36" s="6"/>
      <c r="AM36" s="6">
        <f t="shared" si="6"/>
        <v>0.21773367902129417</v>
      </c>
      <c r="AN36" s="6">
        <f t="shared" si="36"/>
        <v>0.25464914652533671</v>
      </c>
      <c r="AO36" s="6">
        <f t="shared" si="37"/>
        <v>0.99999999999999978</v>
      </c>
      <c r="AP36" s="7">
        <f t="shared" si="38"/>
        <v>0.74535085347466312</v>
      </c>
      <c r="AQ36" s="7">
        <f t="shared" si="39"/>
        <v>0</v>
      </c>
      <c r="AR36" s="22"/>
      <c r="AS36">
        <f t="shared" si="40"/>
        <v>2009</v>
      </c>
      <c r="AT36" s="1" t="b">
        <f t="shared" si="41"/>
        <v>1</v>
      </c>
      <c r="AU36" s="1"/>
      <c r="AV36" s="1" t="b">
        <f t="shared" si="42"/>
        <v>1</v>
      </c>
      <c r="AW36" s="1" t="b">
        <f t="shared" si="43"/>
        <v>1</v>
      </c>
      <c r="AX36" s="1"/>
      <c r="AY36" s="1" t="b">
        <f t="shared" si="13"/>
        <v>1</v>
      </c>
      <c r="AZ36" s="1" t="b">
        <f t="shared" si="44"/>
        <v>1</v>
      </c>
      <c r="BA36" s="1" t="b">
        <f t="shared" si="45"/>
        <v>1</v>
      </c>
      <c r="BC36">
        <f t="shared" si="46"/>
        <v>2009</v>
      </c>
      <c r="BD36" s="2">
        <f t="shared" si="50"/>
        <v>20425.47765001177</v>
      </c>
      <c r="BE36" s="2"/>
      <c r="BF36" s="2">
        <f t="shared" si="51"/>
        <v>22752.193596431916</v>
      </c>
      <c r="BG36" s="2">
        <f t="shared" si="52"/>
        <v>10522.189518799989</v>
      </c>
      <c r="BH36" s="2"/>
      <c r="BI36" s="2">
        <f t="shared" si="53"/>
        <v>22160.514883658554</v>
      </c>
      <c r="BJ36" s="2">
        <f t="shared" si="54"/>
        <v>25917.700132802034</v>
      </c>
      <c r="BK36" s="2">
        <f t="shared" si="47"/>
        <v>101778.07578170428</v>
      </c>
      <c r="BL36" s="2">
        <f t="shared" si="48"/>
        <v>0</v>
      </c>
      <c r="BM36" s="2"/>
    </row>
    <row r="37" spans="1:65" x14ac:dyDescent="0.55000000000000004">
      <c r="A37">
        <f t="shared" si="7"/>
        <v>2010</v>
      </c>
      <c r="B37" s="2">
        <f t="shared" si="14"/>
        <v>23470.916367628524</v>
      </c>
      <c r="C37" s="2"/>
      <c r="D37" s="2">
        <f t="shared" si="15"/>
        <v>28544.902086083483</v>
      </c>
      <c r="E37" s="2">
        <f t="shared" si="16"/>
        <v>13438.940453411347</v>
      </c>
      <c r="F37" s="2"/>
      <c r="G37" s="2">
        <f t="shared" si="17"/>
        <v>24624.764138721384</v>
      </c>
      <c r="H37" s="2">
        <f t="shared" si="18"/>
        <v>27581.616481327925</v>
      </c>
      <c r="I37" s="2">
        <f t="shared" si="49"/>
        <v>117661.13952717267</v>
      </c>
      <c r="J37" s="2">
        <f t="shared" si="19"/>
        <v>10818.472077591694</v>
      </c>
      <c r="K37" s="6">
        <f t="shared" si="20"/>
        <v>0.10125610241523526</v>
      </c>
      <c r="L37" s="7">
        <f t="shared" si="21"/>
        <v>1.1012561024152352</v>
      </c>
      <c r="N37">
        <f t="shared" si="22"/>
        <v>2010</v>
      </c>
      <c r="O37" s="2">
        <f t="shared" si="23"/>
        <v>5135.4959512269879</v>
      </c>
      <c r="P37" s="2"/>
      <c r="Q37" s="2"/>
      <c r="R37">
        <f t="shared" si="24"/>
        <v>2010</v>
      </c>
      <c r="S37" s="2">
        <f t="shared" si="25"/>
        <v>22443.817177383127</v>
      </c>
      <c r="T37" s="2"/>
      <c r="U37" s="2">
        <f t="shared" si="26"/>
        <v>27517.802895838086</v>
      </c>
      <c r="V37" s="2">
        <f t="shared" si="27"/>
        <v>12411.84126316595</v>
      </c>
      <c r="W37" s="2"/>
      <c r="X37" s="2">
        <f t="shared" si="28"/>
        <v>23597.664948475987</v>
      </c>
      <c r="Y37" s="2">
        <f t="shared" si="29"/>
        <v>26554.517291082528</v>
      </c>
      <c r="Z37" s="2">
        <f t="shared" si="30"/>
        <v>112525.64357594569</v>
      </c>
      <c r="AA37" s="2">
        <f t="shared" si="31"/>
        <v>10747.567794241419</v>
      </c>
      <c r="AB37" s="6">
        <f t="shared" si="32"/>
        <v>0.10559806433453335</v>
      </c>
      <c r="AC37" s="7">
        <f t="shared" si="33"/>
        <v>1.1055980643345333</v>
      </c>
      <c r="AD37" s="2">
        <f t="shared" si="34"/>
        <v>0</v>
      </c>
      <c r="AE37" s="2"/>
      <c r="AG37">
        <f t="shared" si="35"/>
        <v>2010</v>
      </c>
      <c r="AH37" s="6">
        <f t="shared" si="6"/>
        <v>0.19945513275145474</v>
      </c>
      <c r="AI37" s="6"/>
      <c r="AJ37" s="6">
        <f t="shared" si="6"/>
        <v>0.24454694966721782</v>
      </c>
      <c r="AK37" s="6">
        <f t="shared" si="6"/>
        <v>0.11030233526093065</v>
      </c>
      <c r="AL37" s="7"/>
      <c r="AM37" s="6">
        <f t="shared" si="6"/>
        <v>0.20970922003702627</v>
      </c>
      <c r="AN37" s="57">
        <f t="shared" si="36"/>
        <v>0.23598636228337036</v>
      </c>
      <c r="AO37" s="6">
        <f t="shared" si="37"/>
        <v>0.99999999999999989</v>
      </c>
      <c r="AP37" s="7">
        <f t="shared" si="38"/>
        <v>0.76401363771662956</v>
      </c>
      <c r="AQ37" s="7">
        <f t="shared" si="39"/>
        <v>0</v>
      </c>
      <c r="AR37" s="22"/>
      <c r="AS37">
        <f t="shared" si="40"/>
        <v>2010</v>
      </c>
      <c r="AT37" s="1" t="b">
        <f t="shared" si="41"/>
        <v>1</v>
      </c>
      <c r="AU37" s="1"/>
      <c r="AV37" s="1" t="b">
        <f t="shared" si="42"/>
        <v>1</v>
      </c>
      <c r="AW37" s="1" t="b">
        <f t="shared" si="43"/>
        <v>1</v>
      </c>
      <c r="AY37" s="1" t="b">
        <f t="shared" ref="AY37:AY38" si="62">AND((X37/$Z37)&gt;0.15,(X37/$Z37)&lt;0.25)</f>
        <v>1</v>
      </c>
      <c r="AZ37" s="35" t="b">
        <f t="shared" si="44"/>
        <v>0</v>
      </c>
      <c r="BA37" s="1" t="b">
        <f t="shared" si="45"/>
        <v>1</v>
      </c>
      <c r="BC37">
        <f t="shared" si="46"/>
        <v>2010</v>
      </c>
      <c r="BD37" s="36">
        <f>BD$26*$Z37</f>
        <v>22505.128715189141</v>
      </c>
      <c r="BE37" s="2"/>
      <c r="BF37" s="36">
        <f>BF$26*$Z37</f>
        <v>22505.128715189141</v>
      </c>
      <c r="BG37" s="36">
        <f>BG$26*$Z37</f>
        <v>11252.564357594571</v>
      </c>
      <c r="BH37" s="2"/>
      <c r="BI37" s="36">
        <f>BI$26*$Z37</f>
        <v>22505.128715189141</v>
      </c>
      <c r="BJ37" s="36">
        <f>BJ$26*$Z37</f>
        <v>33757.69307278371</v>
      </c>
      <c r="BK37" s="2">
        <f t="shared" si="47"/>
        <v>112525.64357594569</v>
      </c>
      <c r="BL37" s="2">
        <f t="shared" si="48"/>
        <v>0</v>
      </c>
      <c r="BM37" s="2"/>
    </row>
    <row r="38" spans="1:65" x14ac:dyDescent="0.55000000000000004">
      <c r="A38">
        <f t="shared" si="7"/>
        <v>2011</v>
      </c>
      <c r="B38" s="2">
        <f t="shared" si="14"/>
        <v>22948.479750878367</v>
      </c>
      <c r="C38" s="2"/>
      <c r="D38" s="2">
        <f t="shared" si="15"/>
        <v>22030.270499298651</v>
      </c>
      <c r="E38" s="2">
        <f t="shared" si="16"/>
        <v>10937.492555581923</v>
      </c>
      <c r="F38" s="2"/>
      <c r="G38" s="2">
        <f t="shared" si="17"/>
        <v>19228.381974257602</v>
      </c>
      <c r="H38" s="2">
        <f t="shared" si="18"/>
        <v>36309.77466908616</v>
      </c>
      <c r="I38" s="2">
        <f t="shared" si="49"/>
        <v>111454.3994491027</v>
      </c>
      <c r="J38" s="2">
        <f t="shared" si="19"/>
        <v>-6206.7400780699681</v>
      </c>
      <c r="K38" s="6">
        <f t="shared" si="20"/>
        <v>-5.2750977111152182E-2</v>
      </c>
      <c r="L38" s="7">
        <f t="shared" si="21"/>
        <v>0.94724902288884782</v>
      </c>
      <c r="N38">
        <f t="shared" si="22"/>
        <v>2011</v>
      </c>
      <c r="O38" s="2">
        <f t="shared" si="23"/>
        <v>5289.5608297637973</v>
      </c>
      <c r="P38" s="2"/>
      <c r="Q38" s="2"/>
      <c r="R38">
        <f t="shared" si="24"/>
        <v>2011</v>
      </c>
      <c r="S38" s="2">
        <f t="shared" si="25"/>
        <v>21890.567584925608</v>
      </c>
      <c r="T38" s="2"/>
      <c r="U38" s="2">
        <f t="shared" si="26"/>
        <v>20972.358333345892</v>
      </c>
      <c r="V38" s="2">
        <f t="shared" si="27"/>
        <v>9879.5803896291636</v>
      </c>
      <c r="W38" s="2"/>
      <c r="X38" s="2">
        <f t="shared" si="28"/>
        <v>18170.469808304842</v>
      </c>
      <c r="Y38" s="2">
        <f t="shared" si="29"/>
        <v>35251.862503133401</v>
      </c>
      <c r="Z38" s="2">
        <f t="shared" si="30"/>
        <v>106164.8386193389</v>
      </c>
      <c r="AA38" s="2">
        <f t="shared" si="31"/>
        <v>-6360.804956606793</v>
      </c>
      <c r="AB38" s="6">
        <f t="shared" si="32"/>
        <v>-5.6527603437466808E-2</v>
      </c>
      <c r="AC38" s="7">
        <f t="shared" si="33"/>
        <v>0.94347239656253323</v>
      </c>
      <c r="AD38" s="2">
        <f t="shared" si="34"/>
        <v>0</v>
      </c>
      <c r="AE38" s="2"/>
      <c r="AG38">
        <f t="shared" si="35"/>
        <v>2011</v>
      </c>
      <c r="AH38" s="6">
        <f t="shared" ref="AH38:AM38" si="63">S38/$Z38</f>
        <v>0.20619413988293897</v>
      </c>
      <c r="AI38" s="7"/>
      <c r="AJ38" s="6">
        <f t="shared" si="63"/>
        <v>0.19754523819834247</v>
      </c>
      <c r="AK38" s="6">
        <f t="shared" si="63"/>
        <v>9.3058874464577265E-2</v>
      </c>
      <c r="AL38" s="7"/>
      <c r="AM38" s="6">
        <f t="shared" si="63"/>
        <v>0.17115336908725753</v>
      </c>
      <c r="AN38" s="6">
        <f t="shared" si="36"/>
        <v>0.33204837836688378</v>
      </c>
      <c r="AO38" s="6">
        <f t="shared" si="37"/>
        <v>1</v>
      </c>
      <c r="AP38" s="7">
        <f t="shared" si="38"/>
        <v>0.66795162163311628</v>
      </c>
      <c r="AQ38" s="7">
        <f t="shared" si="39"/>
        <v>0</v>
      </c>
      <c r="AR38" s="22"/>
      <c r="AS38">
        <f t="shared" si="40"/>
        <v>2011</v>
      </c>
      <c r="AT38" s="1" t="b">
        <f t="shared" si="41"/>
        <v>1</v>
      </c>
      <c r="AV38" s="1" t="b">
        <f t="shared" si="42"/>
        <v>1</v>
      </c>
      <c r="AW38" s="1" t="b">
        <f t="shared" si="43"/>
        <v>1</v>
      </c>
      <c r="AY38" s="1" t="b">
        <f t="shared" si="62"/>
        <v>1</v>
      </c>
      <c r="AZ38" s="1" t="b">
        <f t="shared" si="44"/>
        <v>1</v>
      </c>
      <c r="BA38" s="1" t="b">
        <f t="shared" si="45"/>
        <v>1</v>
      </c>
      <c r="BC38">
        <f t="shared" si="46"/>
        <v>2011</v>
      </c>
      <c r="BD38" s="2">
        <f t="shared" si="50"/>
        <v>21890.567584925608</v>
      </c>
      <c r="BE38" s="2"/>
      <c r="BF38" s="2">
        <f t="shared" si="51"/>
        <v>20972.358333345892</v>
      </c>
      <c r="BG38" s="2">
        <f t="shared" si="52"/>
        <v>9879.5803896291636</v>
      </c>
      <c r="BH38" s="2"/>
      <c r="BI38" s="2">
        <f t="shared" si="53"/>
        <v>18170.469808304842</v>
      </c>
      <c r="BJ38" s="2">
        <f t="shared" si="54"/>
        <v>35251.862503133401</v>
      </c>
      <c r="BK38" s="2">
        <f t="shared" si="47"/>
        <v>106164.8386193389</v>
      </c>
      <c r="BL38" s="2">
        <f t="shared" si="48"/>
        <v>0</v>
      </c>
      <c r="BM38" s="2"/>
    </row>
    <row r="39" spans="1:65" x14ac:dyDescent="0.55000000000000004">
      <c r="A39">
        <f t="shared" si="7"/>
        <v>2012</v>
      </c>
      <c r="B39" s="2">
        <f t="shared" si="14"/>
        <v>25353.655376860836</v>
      </c>
      <c r="C39" s="2"/>
      <c r="D39" s="2">
        <f t="shared" si="15"/>
        <v>24285.99095001454</v>
      </c>
      <c r="E39" s="2">
        <f t="shared" si="16"/>
        <v>11661.856691918267</v>
      </c>
      <c r="F39" s="2"/>
      <c r="G39" s="2">
        <f t="shared" si="17"/>
        <v>21466.593031531342</v>
      </c>
      <c r="H39" s="2">
        <f t="shared" si="18"/>
        <v>36679.562934510301</v>
      </c>
      <c r="I39" s="2">
        <f t="shared" ref="I39:I41" si="64">SUM(B39:H39)</f>
        <v>119447.65898483529</v>
      </c>
      <c r="J39" s="2">
        <f t="shared" ref="J39:J41" si="65">I39-I38</f>
        <v>7993.2595357325918</v>
      </c>
      <c r="K39" s="6">
        <f t="shared" ref="K39:K41" si="66">(J39/I38)</f>
        <v>7.171775699516314E-2</v>
      </c>
      <c r="L39" s="7">
        <f t="shared" ref="L39:L41" si="67">K39+1</f>
        <v>1.071717756995163</v>
      </c>
      <c r="N39">
        <f t="shared" ref="N39:N41" si="68">A39</f>
        <v>2012</v>
      </c>
      <c r="O39" s="2">
        <f t="shared" si="23"/>
        <v>5384.7729246995459</v>
      </c>
      <c r="P39" s="2"/>
      <c r="Q39" s="2"/>
      <c r="R39">
        <f t="shared" ref="R39:R41" si="69">A39</f>
        <v>2012</v>
      </c>
      <c r="S39" s="2">
        <f t="shared" ref="S39:S41" si="70">B39-($O39/5)</f>
        <v>24276.700791920928</v>
      </c>
      <c r="T39" s="2"/>
      <c r="U39" s="2">
        <f t="shared" ref="U39:U41" si="71">D39-($O39/5)</f>
        <v>23209.036365074629</v>
      </c>
      <c r="V39" s="2">
        <f t="shared" ref="V39:V41" si="72">E39-($O39/5)</f>
        <v>10584.902106978358</v>
      </c>
      <c r="W39" s="2"/>
      <c r="X39" s="2">
        <f t="shared" ref="X39:X41" si="73">G39-($O39/5)</f>
        <v>20389.638446591431</v>
      </c>
      <c r="Y39" s="2">
        <f t="shared" ref="Y39:Y41" si="74">H39-($O39/5)</f>
        <v>35602.608349570393</v>
      </c>
      <c r="Z39" s="2">
        <f t="shared" ref="Z39:Z41" si="75">SUM(S39:Y39)</f>
        <v>114062.88606013573</v>
      </c>
      <c r="AA39" s="2">
        <f t="shared" ref="AA39:AA41" si="76">Z39-Z38</f>
        <v>7898.0474407968286</v>
      </c>
      <c r="AB39" s="6">
        <f t="shared" ref="AB39:AB41" si="77">(AA39/Z38)</f>
        <v>7.4394192498288478E-2</v>
      </c>
      <c r="AC39" s="7">
        <f t="shared" ref="AC39:AC41" si="78">AB39+1</f>
        <v>1.0743941924982885</v>
      </c>
      <c r="AD39" s="2">
        <f t="shared" ref="AD39:AD41" si="79">Z39-(I39-O39)</f>
        <v>0</v>
      </c>
      <c r="AE39" s="2"/>
      <c r="AG39">
        <f t="shared" ref="AG39:AG41" si="80">A39</f>
        <v>2012</v>
      </c>
      <c r="AH39" s="6">
        <f t="shared" ref="AH39:AH41" si="81">S39/$Z39</f>
        <v>0.21283610848775011</v>
      </c>
      <c r="AI39" s="7"/>
      <c r="AJ39" s="6">
        <f t="shared" ref="AJ39:AJ41" si="82">U39/$Z39</f>
        <v>0.20347579450899098</v>
      </c>
      <c r="AK39" s="6">
        <f t="shared" ref="AK39:AK41" si="83">V39/$Z39</f>
        <v>9.2798827669482539E-2</v>
      </c>
      <c r="AL39" s="7"/>
      <c r="AM39" s="6">
        <f t="shared" ref="AM39:AM41" si="84">X39/$Z39</f>
        <v>0.17875786902184551</v>
      </c>
      <c r="AN39" s="6">
        <f t="shared" ref="AN39:AN41" si="85">Y39/$Z39</f>
        <v>0.31213140031193093</v>
      </c>
      <c r="AO39" s="6">
        <f t="shared" ref="AO39:AO41" si="86">SUM(AH39:AN39)</f>
        <v>1</v>
      </c>
      <c r="AP39" s="7">
        <f t="shared" ref="AP39:AP41" si="87">SUM(AH39:AM39)</f>
        <v>0.68786859968806913</v>
      </c>
      <c r="AQ39" s="7">
        <f t="shared" ref="AQ39:AQ41" si="88">AO39-(AP39+AN39)</f>
        <v>0</v>
      </c>
      <c r="AR39" s="22"/>
      <c r="AS39">
        <f t="shared" ref="AS39:AS41" si="89">AG39</f>
        <v>2012</v>
      </c>
      <c r="AT39" s="1" t="b">
        <f t="shared" ref="AT39:AT41" si="90">AND((S39/$Z39)&gt;0.15,(S39/$Z39)&lt;0.25)</f>
        <v>1</v>
      </c>
      <c r="AV39" s="1" t="b">
        <f t="shared" ref="AV39:AV41" si="91">AND((U39/$Z39)&gt;0.15,(U39/$Z39)&lt;0.25)</f>
        <v>1</v>
      </c>
      <c r="AW39" s="1" t="b">
        <f t="shared" ref="AW39:AW41" si="92">AND((V39/$Z39)&gt;0.05,(V39/$Z39)&lt;0.15)</f>
        <v>1</v>
      </c>
      <c r="AY39" s="1" t="b">
        <f t="shared" ref="AY39:AY41" si="93">AND((X39/$Z39)&gt;0.15,(X39/$Z39)&lt;0.25)</f>
        <v>1</v>
      </c>
      <c r="AZ39" s="1" t="b">
        <f t="shared" ref="AZ39:AZ41" si="94">AND((Y39/$Z39)&gt;0.25,(Y39/$Z39)&lt;0.35)</f>
        <v>1</v>
      </c>
      <c r="BA39" s="1" t="b">
        <f t="shared" ref="BA39:BA41" si="95">AND((Z39/$Z39)&gt;0.999,(Z39/$Z39)&lt;1.01)</f>
        <v>1</v>
      </c>
      <c r="BC39">
        <f t="shared" ref="BC39:BC41" si="96">AS39</f>
        <v>2012</v>
      </c>
      <c r="BD39" s="2">
        <f t="shared" ref="BD39:BD40" si="97">S39</f>
        <v>24276.700791920928</v>
      </c>
      <c r="BE39" s="2"/>
      <c r="BF39" s="2">
        <f t="shared" ref="BF39:BF40" si="98">U39</f>
        <v>23209.036365074629</v>
      </c>
      <c r="BG39" s="2">
        <f t="shared" ref="BG39:BG40" si="99">V39</f>
        <v>10584.902106978358</v>
      </c>
      <c r="BH39" s="2"/>
      <c r="BI39" s="2">
        <f t="shared" ref="BI39:BI40" si="100">X39</f>
        <v>20389.638446591431</v>
      </c>
      <c r="BJ39" s="2">
        <f t="shared" ref="BJ39:BJ40" si="101">Y39</f>
        <v>35602.608349570393</v>
      </c>
      <c r="BK39" s="2">
        <f t="shared" ref="BK39:BK41" si="102">Z39</f>
        <v>114062.88606013573</v>
      </c>
      <c r="BL39" s="2">
        <f t="shared" ref="BL39:BL41" si="103">SUM(BD39:BJ39)-Z39</f>
        <v>0</v>
      </c>
      <c r="BM39" s="2"/>
    </row>
    <row r="40" spans="1:65" x14ac:dyDescent="0.55000000000000004">
      <c r="A40">
        <f t="shared" si="7"/>
        <v>2013</v>
      </c>
      <c r="B40" s="2">
        <f t="shared" si="14"/>
        <v>32088.943106761086</v>
      </c>
      <c r="C40" s="2"/>
      <c r="D40" s="2">
        <f t="shared" si="15"/>
        <v>31332.199092850751</v>
      </c>
      <c r="E40" s="2">
        <f t="shared" si="16"/>
        <v>14566.942279623614</v>
      </c>
      <c r="F40" s="2"/>
      <c r="G40" s="2">
        <f t="shared" si="17"/>
        <v>23456.240068958778</v>
      </c>
      <c r="H40" s="2">
        <f t="shared" si="18"/>
        <v>34797.989400870101</v>
      </c>
      <c r="I40" s="2">
        <f t="shared" si="64"/>
        <v>136242.31394906432</v>
      </c>
      <c r="J40" s="2">
        <f t="shared" si="65"/>
        <v>16794.654964229034</v>
      </c>
      <c r="K40" s="6">
        <f t="shared" si="66"/>
        <v>0.14060262969541523</v>
      </c>
      <c r="L40" s="7">
        <f t="shared" si="67"/>
        <v>1.1406026296954153</v>
      </c>
      <c r="N40">
        <f t="shared" si="68"/>
        <v>2013</v>
      </c>
      <c r="O40" s="2">
        <f t="shared" si="23"/>
        <v>5446.9989139694262</v>
      </c>
      <c r="P40" s="2"/>
      <c r="Q40" s="2"/>
      <c r="R40">
        <f t="shared" si="69"/>
        <v>2013</v>
      </c>
      <c r="S40" s="2">
        <f t="shared" si="70"/>
        <v>30999.543323967202</v>
      </c>
      <c r="T40" s="2"/>
      <c r="U40" s="2">
        <f t="shared" si="71"/>
        <v>30242.799310056867</v>
      </c>
      <c r="V40" s="2">
        <f t="shared" si="72"/>
        <v>13477.542496829728</v>
      </c>
      <c r="W40" s="2"/>
      <c r="X40" s="2">
        <f t="shared" si="73"/>
        <v>22366.840286164894</v>
      </c>
      <c r="Y40" s="2">
        <f t="shared" si="74"/>
        <v>33708.589618076214</v>
      </c>
      <c r="Z40" s="2">
        <f t="shared" si="75"/>
        <v>130795.31503509491</v>
      </c>
      <c r="AA40" s="2">
        <f t="shared" si="76"/>
        <v>16732.428974959184</v>
      </c>
      <c r="AB40" s="6">
        <f t="shared" si="77"/>
        <v>0.14669477121714761</v>
      </c>
      <c r="AC40" s="7">
        <f t="shared" si="78"/>
        <v>1.1466947712171476</v>
      </c>
      <c r="AD40" s="2">
        <f t="shared" si="79"/>
        <v>0</v>
      </c>
      <c r="AE40" s="2"/>
      <c r="AG40">
        <f t="shared" si="80"/>
        <v>2013</v>
      </c>
      <c r="AH40" s="6">
        <f t="shared" si="81"/>
        <v>0.23700805579809509</v>
      </c>
      <c r="AI40" s="7"/>
      <c r="AJ40" s="6">
        <f t="shared" si="82"/>
        <v>0.23122234387326593</v>
      </c>
      <c r="AK40" s="6">
        <f t="shared" si="83"/>
        <v>0.10304300649616879</v>
      </c>
      <c r="AL40" s="7"/>
      <c r="AM40" s="6">
        <f t="shared" si="84"/>
        <v>0.17100643306806088</v>
      </c>
      <c r="AN40" s="6">
        <f t="shared" si="85"/>
        <v>0.25772016076440923</v>
      </c>
      <c r="AO40" s="6">
        <f t="shared" si="86"/>
        <v>1</v>
      </c>
      <c r="AP40" s="7">
        <f t="shared" si="87"/>
        <v>0.74227983923559071</v>
      </c>
      <c r="AQ40" s="7">
        <f t="shared" si="88"/>
        <v>0</v>
      </c>
      <c r="AR40" s="22"/>
      <c r="AS40">
        <f t="shared" si="89"/>
        <v>2013</v>
      </c>
      <c r="AT40" s="1" t="b">
        <f t="shared" si="90"/>
        <v>1</v>
      </c>
      <c r="AV40" s="1" t="b">
        <f t="shared" si="91"/>
        <v>1</v>
      </c>
      <c r="AW40" s="1" t="b">
        <f t="shared" si="92"/>
        <v>1</v>
      </c>
      <c r="AY40" s="1" t="b">
        <f t="shared" si="93"/>
        <v>1</v>
      </c>
      <c r="AZ40" s="1" t="b">
        <f t="shared" si="94"/>
        <v>1</v>
      </c>
      <c r="BA40" s="1" t="b">
        <f t="shared" si="95"/>
        <v>1</v>
      </c>
      <c r="BC40">
        <f t="shared" si="96"/>
        <v>2013</v>
      </c>
      <c r="BD40" s="2">
        <f t="shared" si="97"/>
        <v>30999.543323967202</v>
      </c>
      <c r="BE40" s="2"/>
      <c r="BF40" s="2">
        <f t="shared" si="98"/>
        <v>30242.799310056867</v>
      </c>
      <c r="BG40" s="2">
        <f t="shared" si="99"/>
        <v>13477.542496829728</v>
      </c>
      <c r="BH40" s="2"/>
      <c r="BI40" s="2">
        <f t="shared" si="100"/>
        <v>22366.840286164894</v>
      </c>
      <c r="BJ40" s="2">
        <f t="shared" si="101"/>
        <v>33708.589618076214</v>
      </c>
      <c r="BK40" s="2">
        <f t="shared" si="102"/>
        <v>130795.31503509491</v>
      </c>
      <c r="BL40" s="2">
        <f t="shared" si="103"/>
        <v>0</v>
      </c>
      <c r="BM40" s="2"/>
    </row>
    <row r="41" spans="1:65" x14ac:dyDescent="0.55000000000000004">
      <c r="A41">
        <f t="shared" si="7"/>
        <v>2014</v>
      </c>
      <c r="B41" s="2">
        <f t="shared" si="14"/>
        <v>35187.581627035172</v>
      </c>
      <c r="C41" s="2"/>
      <c r="D41" s="2">
        <f t="shared" si="15"/>
        <v>34355.820016224607</v>
      </c>
      <c r="E41" s="2">
        <f t="shared" si="16"/>
        <v>14470.837378846081</v>
      </c>
      <c r="F41" s="2"/>
      <c r="G41" s="2">
        <f t="shared" si="17"/>
        <v>21418.486258031502</v>
      </c>
      <c r="H41" s="2">
        <f t="shared" si="18"/>
        <v>35650.204380077404</v>
      </c>
      <c r="I41" s="2">
        <f t="shared" si="64"/>
        <v>141082.92966021475</v>
      </c>
      <c r="J41" s="2">
        <f t="shared" si="65"/>
        <v>4840.615711150429</v>
      </c>
      <c r="K41" s="6">
        <f t="shared" si="66"/>
        <v>3.5529459026658529E-2</v>
      </c>
      <c r="L41" s="7">
        <f t="shared" si="67"/>
        <v>1.0355294590266586</v>
      </c>
      <c r="N41">
        <f t="shared" si="68"/>
        <v>2014</v>
      </c>
      <c r="O41" s="2">
        <f t="shared" si="23"/>
        <v>5517.265199959631</v>
      </c>
      <c r="P41" s="2"/>
      <c r="Q41" s="2"/>
      <c r="R41">
        <f t="shared" si="69"/>
        <v>2014</v>
      </c>
      <c r="S41" s="2">
        <f t="shared" si="70"/>
        <v>34084.128587043248</v>
      </c>
      <c r="T41" s="2"/>
      <c r="U41" s="2">
        <f t="shared" si="71"/>
        <v>33252.366976232683</v>
      </c>
      <c r="V41" s="2">
        <f t="shared" si="72"/>
        <v>13367.384338854155</v>
      </c>
      <c r="W41" s="2"/>
      <c r="X41" s="2">
        <f t="shared" si="73"/>
        <v>20315.033218039574</v>
      </c>
      <c r="Y41" s="2">
        <f t="shared" si="74"/>
        <v>34546.75134008548</v>
      </c>
      <c r="Z41" s="2">
        <f t="shared" si="75"/>
        <v>135565.66446025515</v>
      </c>
      <c r="AA41" s="2">
        <f t="shared" si="76"/>
        <v>4770.3494251602388</v>
      </c>
      <c r="AB41" s="6">
        <f t="shared" si="77"/>
        <v>3.6471867695568927E-2</v>
      </c>
      <c r="AC41" s="7">
        <f t="shared" si="78"/>
        <v>1.0364718676955689</v>
      </c>
      <c r="AD41" s="2">
        <f t="shared" si="79"/>
        <v>0</v>
      </c>
      <c r="AE41" s="2"/>
      <c r="AG41">
        <f t="shared" si="80"/>
        <v>2014</v>
      </c>
      <c r="AH41" s="6">
        <f t="shared" si="81"/>
        <v>0.25142154337343997</v>
      </c>
      <c r="AI41" s="7"/>
      <c r="AJ41" s="6">
        <f t="shared" si="82"/>
        <v>0.24528605461142811</v>
      </c>
      <c r="AK41" s="6">
        <f t="shared" si="83"/>
        <v>9.8604498359340653E-2</v>
      </c>
      <c r="AL41" s="7"/>
      <c r="AM41" s="6">
        <f t="shared" si="84"/>
        <v>0.149853823967318</v>
      </c>
      <c r="AN41" s="6">
        <f t="shared" si="85"/>
        <v>0.25483407968847321</v>
      </c>
      <c r="AO41" s="6">
        <f t="shared" si="86"/>
        <v>0.99999999999999978</v>
      </c>
      <c r="AP41" s="7">
        <f t="shared" si="87"/>
        <v>0.74516592031152662</v>
      </c>
      <c r="AQ41" s="7">
        <f t="shared" si="88"/>
        <v>0</v>
      </c>
      <c r="AR41" s="22"/>
      <c r="AS41">
        <f t="shared" si="89"/>
        <v>2014</v>
      </c>
      <c r="AT41" s="35" t="b">
        <f t="shared" si="90"/>
        <v>0</v>
      </c>
      <c r="AV41" s="1" t="b">
        <f t="shared" si="91"/>
        <v>1</v>
      </c>
      <c r="AW41" s="1" t="b">
        <f t="shared" si="92"/>
        <v>1</v>
      </c>
      <c r="AY41" s="35" t="b">
        <f t="shared" si="93"/>
        <v>0</v>
      </c>
      <c r="AZ41" s="1" t="b">
        <f t="shared" si="94"/>
        <v>1</v>
      </c>
      <c r="BA41" s="1" t="b">
        <f t="shared" si="95"/>
        <v>1</v>
      </c>
      <c r="BC41">
        <f t="shared" si="96"/>
        <v>2014</v>
      </c>
      <c r="BD41" s="36">
        <f>BD$26*$Z41</f>
        <v>27113.132892051031</v>
      </c>
      <c r="BE41" s="2"/>
      <c r="BF41" s="36">
        <f>BF$26*$Z41</f>
        <v>27113.132892051031</v>
      </c>
      <c r="BG41" s="36">
        <f>BG$26*$Z41</f>
        <v>13556.566446025516</v>
      </c>
      <c r="BH41" s="2"/>
      <c r="BI41" s="36">
        <f>BI$26*$Z41</f>
        <v>27113.132892051031</v>
      </c>
      <c r="BJ41" s="36">
        <f>BJ$26*$Z41</f>
        <v>40669.699338076542</v>
      </c>
      <c r="BK41" s="2">
        <f t="shared" si="102"/>
        <v>135565.66446025515</v>
      </c>
      <c r="BL41" s="2">
        <f t="shared" si="103"/>
        <v>0</v>
      </c>
      <c r="BM41" s="2"/>
    </row>
    <row r="42" spans="1:65" x14ac:dyDescent="0.55000000000000004">
      <c r="A42">
        <f t="shared" ref="A42:A43" si="104">A19</f>
        <v>2015</v>
      </c>
      <c r="B42" s="2">
        <f t="shared" ref="B42:B43" si="105">BD41*(1+(B19/100))</f>
        <v>27452.04705320167</v>
      </c>
      <c r="C42" s="2"/>
      <c r="D42" s="2">
        <f t="shared" ref="D42:E42" si="106">BF41*(1+(D19/100))</f>
        <v>26717.281151827086</v>
      </c>
      <c r="E42" s="2">
        <f t="shared" si="106"/>
        <v>13044.128234365751</v>
      </c>
      <c r="F42" s="2"/>
      <c r="G42" s="2">
        <f t="shared" ref="G42:H42" si="107">BI41*(1+(G19/100))</f>
        <v>25928.288984668401</v>
      </c>
      <c r="H42" s="2">
        <f t="shared" si="107"/>
        <v>40791.708436090768</v>
      </c>
      <c r="I42" s="2">
        <f t="shared" ref="I42:I43" si="108">SUM(B42:H42)</f>
        <v>133933.45386015368</v>
      </c>
      <c r="J42" s="2">
        <f t="shared" ref="J42:J43" si="109">I42-I41</f>
        <v>-7149.4758000610746</v>
      </c>
      <c r="K42" s="6">
        <f t="shared" ref="K42:K43" si="110">(J42/I41)</f>
        <v>-5.0675697033510214E-2</v>
      </c>
      <c r="L42" s="7">
        <f t="shared" ref="L42:L43" si="111">K42+1</f>
        <v>0.94932430296648973</v>
      </c>
      <c r="N42">
        <f t="shared" ref="N42:N43" si="112">A42</f>
        <v>2015</v>
      </c>
      <c r="O42" s="2">
        <f t="shared" ref="O42:O43" si="113">O41*(1+O19)</f>
        <v>5541.5411668394536</v>
      </c>
      <c r="P42" s="2"/>
      <c r="Q42" s="2"/>
      <c r="R42">
        <f t="shared" ref="R42:R43" si="114">A42</f>
        <v>2015</v>
      </c>
      <c r="S42" s="2">
        <f t="shared" ref="S42:S43" si="115">B42-($O42/5)</f>
        <v>26343.738819833779</v>
      </c>
      <c r="T42" s="2"/>
      <c r="U42" s="2">
        <f t="shared" ref="U42:U43" si="116">D42-($O42/5)</f>
        <v>25608.972918459196</v>
      </c>
      <c r="V42" s="2">
        <f t="shared" ref="V42:V43" si="117">E42-($O42/5)</f>
        <v>11935.820000997861</v>
      </c>
      <c r="W42" s="2"/>
      <c r="X42" s="2">
        <f t="shared" ref="X42:X43" si="118">G42-($O42/5)</f>
        <v>24819.980751300511</v>
      </c>
      <c r="Y42" s="2">
        <f t="shared" ref="Y42:Y43" si="119">H42-($O42/5)</f>
        <v>39683.400202722878</v>
      </c>
      <c r="Z42" s="2">
        <f t="shared" ref="Z42:Z43" si="120">SUM(S42:Y42)</f>
        <v>128391.91269331423</v>
      </c>
      <c r="AA42" s="2">
        <f t="shared" ref="AA42:AA43" si="121">Z42-Z41</f>
        <v>-7173.7517669409281</v>
      </c>
      <c r="AB42" s="6">
        <f t="shared" ref="AB42:AB43" si="122">(AA42/Z41)</f>
        <v>-5.2917173352874415E-2</v>
      </c>
      <c r="AC42" s="7">
        <f t="shared" ref="AC42:AC43" si="123">AB42+1</f>
        <v>0.94708282664712562</v>
      </c>
      <c r="AD42" s="2">
        <f t="shared" ref="AD42:AD43" si="124">Z42-(I42-O42)</f>
        <v>0</v>
      </c>
      <c r="AE42" s="2"/>
      <c r="AG42">
        <f t="shared" ref="AG42:AG43" si="125">A42</f>
        <v>2015</v>
      </c>
      <c r="AH42" s="6">
        <f t="shared" ref="AH42:AH43" si="126">S42/$Z42</f>
        <v>0.20518222890533808</v>
      </c>
      <c r="AI42" s="7"/>
      <c r="AJ42" s="6">
        <f t="shared" ref="AJ42:AJ43" si="127">U42/$Z42</f>
        <v>0.19945939258363224</v>
      </c>
      <c r="AK42" s="6">
        <f t="shared" ref="AK42:AK43" si="128">V42/$Z42</f>
        <v>9.2963955054619241E-2</v>
      </c>
      <c r="AL42" s="7"/>
      <c r="AM42" s="6">
        <f t="shared" ref="AM42:AM43" si="129">X42/$Z42</f>
        <v>0.19331420671788907</v>
      </c>
      <c r="AN42" s="6">
        <f t="shared" ref="AN42:AN43" si="130">Y42/$Z42</f>
        <v>0.30908021673852143</v>
      </c>
      <c r="AO42" s="6">
        <f t="shared" ref="AO42:AO43" si="131">SUM(AH42:AN42)</f>
        <v>1</v>
      </c>
      <c r="AP42" s="7">
        <f t="shared" ref="AP42:AP43" si="132">SUM(AH42:AM42)</f>
        <v>0.69091978326147863</v>
      </c>
      <c r="AQ42" s="7">
        <f t="shared" ref="AQ42:AQ43" si="133">AO42-(AP42+AN42)</f>
        <v>0</v>
      </c>
      <c r="AR42" s="22"/>
      <c r="AS42">
        <f t="shared" ref="AS42" si="134">AG42</f>
        <v>2015</v>
      </c>
      <c r="AT42" s="1" t="b">
        <f t="shared" ref="AT42" si="135">AND((S42/$Z42)&gt;0.15,(S42/$Z42)&lt;0.25)</f>
        <v>1</v>
      </c>
      <c r="AV42" s="1" t="b">
        <f t="shared" ref="AV42" si="136">AND((U42/$Z42)&gt;0.15,(U42/$Z42)&lt;0.25)</f>
        <v>1</v>
      </c>
      <c r="AW42" s="1" t="b">
        <f t="shared" ref="AW42" si="137">AND((V42/$Z42)&gt;0.05,(V42/$Z42)&lt;0.15)</f>
        <v>1</v>
      </c>
      <c r="AY42" s="1" t="b">
        <f t="shared" ref="AY42" si="138">AND((X42/$Z42)&gt;0.15,(X42/$Z42)&lt;0.25)</f>
        <v>1</v>
      </c>
      <c r="AZ42" s="1" t="b">
        <f t="shared" ref="AZ42" si="139">AND((Y42/$Z42)&gt;0.25,(Y42/$Z42)&lt;0.35)</f>
        <v>1</v>
      </c>
      <c r="BA42" s="1" t="b">
        <f t="shared" ref="BA42" si="140">AND((Z42/$Z42)&gt;0.999,(Z42/$Z42)&lt;1.01)</f>
        <v>1</v>
      </c>
      <c r="BC42">
        <f t="shared" ref="BC42" si="141">AS42</f>
        <v>2015</v>
      </c>
      <c r="BD42" s="2">
        <f t="shared" ref="BD42" si="142">S42</f>
        <v>26343.738819833779</v>
      </c>
      <c r="BE42" s="2"/>
      <c r="BF42" s="2">
        <f t="shared" ref="BF42" si="143">U42</f>
        <v>25608.972918459196</v>
      </c>
      <c r="BG42" s="2">
        <f t="shared" ref="BG42" si="144">V42</f>
        <v>11935.820000997861</v>
      </c>
      <c r="BH42" s="2"/>
      <c r="BI42" s="2">
        <f t="shared" ref="BI42" si="145">X42</f>
        <v>24819.980751300511</v>
      </c>
      <c r="BJ42" s="2">
        <f t="shared" ref="BJ42" si="146">Y42</f>
        <v>39683.400202722878</v>
      </c>
      <c r="BK42" s="2">
        <f t="shared" ref="BK42" si="147">Z42</f>
        <v>128391.91269331423</v>
      </c>
      <c r="BL42" s="2">
        <f t="shared" ref="BL42" si="148">SUM(BD42:BJ42)-Z42</f>
        <v>0</v>
      </c>
      <c r="BM42" s="2"/>
    </row>
    <row r="43" spans="1:65" x14ac:dyDescent="0.55000000000000004">
      <c r="A43">
        <f t="shared" si="104"/>
        <v>2016</v>
      </c>
      <c r="B43" s="2">
        <f t="shared" si="105"/>
        <v>29457.568748338133</v>
      </c>
      <c r="C43" s="2"/>
      <c r="D43" s="2">
        <f t="shared" ref="D43:E43" si="149">BF42*(1+(D20/100))</f>
        <v>28443.88622053263</v>
      </c>
      <c r="E43" s="2">
        <f t="shared" si="149"/>
        <v>14104.558495179172</v>
      </c>
      <c r="F43" s="2"/>
      <c r="G43" s="2">
        <f t="shared" ref="G43:H43" si="150">BI42*(1+(G20/100))</f>
        <v>25974.109856235984</v>
      </c>
      <c r="H43" s="2">
        <f t="shared" si="150"/>
        <v>40675.485207790945</v>
      </c>
      <c r="I43" s="2">
        <f t="shared" si="108"/>
        <v>138655.60852807685</v>
      </c>
      <c r="J43" s="2">
        <f t="shared" si="109"/>
        <v>4722.1546679231687</v>
      </c>
      <c r="K43" s="6">
        <f t="shared" si="110"/>
        <v>3.5257469525528669E-2</v>
      </c>
      <c r="L43" s="7">
        <f t="shared" si="111"/>
        <v>1.0352574695255288</v>
      </c>
      <c r="N43">
        <f t="shared" si="112"/>
        <v>2016</v>
      </c>
      <c r="O43" s="2">
        <f t="shared" si="113"/>
        <v>5635.7473666757242</v>
      </c>
      <c r="P43" s="2"/>
      <c r="Q43" s="2"/>
      <c r="R43">
        <f t="shared" si="114"/>
        <v>2016</v>
      </c>
      <c r="S43" s="2">
        <f t="shared" si="115"/>
        <v>28330.419275002987</v>
      </c>
      <c r="T43" s="2"/>
      <c r="U43" s="2">
        <f t="shared" si="116"/>
        <v>27316.736747197483</v>
      </c>
      <c r="V43" s="2">
        <f t="shared" si="117"/>
        <v>12977.409021844027</v>
      </c>
      <c r="W43" s="2"/>
      <c r="X43" s="2">
        <f t="shared" si="118"/>
        <v>24846.960382900837</v>
      </c>
      <c r="Y43" s="2">
        <f t="shared" si="119"/>
        <v>39548.335734455803</v>
      </c>
      <c r="Z43" s="2">
        <f t="shared" si="120"/>
        <v>133019.86116140115</v>
      </c>
      <c r="AA43" s="2">
        <f t="shared" si="121"/>
        <v>4627.9484680869209</v>
      </c>
      <c r="AB43" s="6">
        <f t="shared" si="122"/>
        <v>3.6045482702182011E-2</v>
      </c>
      <c r="AC43" s="7">
        <f t="shared" si="123"/>
        <v>1.0360454827021821</v>
      </c>
      <c r="AD43" s="2">
        <f t="shared" si="124"/>
        <v>0</v>
      </c>
      <c r="AE43" s="2"/>
      <c r="AG43">
        <f t="shared" si="125"/>
        <v>2016</v>
      </c>
      <c r="AH43" s="6">
        <f t="shared" si="126"/>
        <v>0.21297886667185703</v>
      </c>
      <c r="AI43" s="7"/>
      <c r="AJ43" s="6">
        <f t="shared" si="127"/>
        <v>0.20535833152052693</v>
      </c>
      <c r="AK43" s="6">
        <f t="shared" si="128"/>
        <v>9.7559935099449102E-2</v>
      </c>
      <c r="AL43" s="7"/>
      <c r="AM43" s="6">
        <f t="shared" si="129"/>
        <v>0.1867913570647356</v>
      </c>
      <c r="AN43" s="6">
        <f t="shared" si="130"/>
        <v>0.29731150964343123</v>
      </c>
      <c r="AO43" s="6">
        <f t="shared" si="131"/>
        <v>0.99999999999999989</v>
      </c>
      <c r="AP43" s="7">
        <f t="shared" si="132"/>
        <v>0.70268849035656866</v>
      </c>
      <c r="AQ43" s="7">
        <f t="shared" si="133"/>
        <v>0</v>
      </c>
      <c r="AR43" s="22"/>
      <c r="AS43">
        <f t="shared" ref="AS43" si="151">AG43</f>
        <v>2016</v>
      </c>
      <c r="AT43" s="1" t="b">
        <f t="shared" ref="AT43" si="152">AND((S43/$Z43)&gt;0.15,(S43/$Z43)&lt;0.25)</f>
        <v>1</v>
      </c>
      <c r="AV43" s="1" t="b">
        <f t="shared" ref="AV43" si="153">AND((U43/$Z43)&gt;0.15,(U43/$Z43)&lt;0.25)</f>
        <v>1</v>
      </c>
      <c r="AW43" s="1" t="b">
        <f t="shared" ref="AW43" si="154">AND((V43/$Z43)&gt;0.05,(V43/$Z43)&lt;0.15)</f>
        <v>1</v>
      </c>
      <c r="AY43" s="1" t="b">
        <f t="shared" ref="AY43" si="155">AND((X43/$Z43)&gt;0.15,(X43/$Z43)&lt;0.25)</f>
        <v>1</v>
      </c>
      <c r="AZ43" s="1" t="b">
        <f t="shared" ref="AZ43" si="156">AND((Y43/$Z43)&gt;0.25,(Y43/$Z43)&lt;0.35)</f>
        <v>1</v>
      </c>
      <c r="BA43" s="1" t="b">
        <f t="shared" ref="BA43" si="157">AND((Z43/$Z43)&gt;0.999,(Z43/$Z43)&lt;1.01)</f>
        <v>1</v>
      </c>
      <c r="BC43">
        <f t="shared" ref="BC43" si="158">AS43</f>
        <v>2016</v>
      </c>
      <c r="BD43" s="2">
        <f t="shared" ref="BD43" si="159">S43</f>
        <v>28330.419275002987</v>
      </c>
      <c r="BE43" s="2"/>
      <c r="BF43" s="2">
        <f t="shared" ref="BF43" si="160">U43</f>
        <v>27316.736747197483</v>
      </c>
      <c r="BG43" s="2">
        <f t="shared" ref="BG43" si="161">V43</f>
        <v>12977.409021844027</v>
      </c>
      <c r="BH43" s="2"/>
      <c r="BI43" s="2">
        <f t="shared" ref="BI43" si="162">X43</f>
        <v>24846.960382900837</v>
      </c>
      <c r="BJ43" s="2">
        <f t="shared" ref="BJ43" si="163">Y43</f>
        <v>39548.335734455803</v>
      </c>
      <c r="BK43" s="2">
        <f t="shared" ref="BK43" si="164">Z43</f>
        <v>133019.86116140115</v>
      </c>
      <c r="BL43" s="2">
        <f t="shared" ref="BL43" si="165">SUM(BD43:BJ43)-Z43</f>
        <v>0</v>
      </c>
      <c r="BM43" s="2"/>
    </row>
    <row r="44" spans="1:65" x14ac:dyDescent="0.55000000000000004">
      <c r="A44" s="9" t="s">
        <v>41</v>
      </c>
      <c r="B44" s="10">
        <f>BD43</f>
        <v>28330.419275002987</v>
      </c>
      <c r="C44" s="10"/>
      <c r="D44" s="10">
        <f>BF43</f>
        <v>27316.736747197483</v>
      </c>
      <c r="E44" s="10">
        <f>BG43</f>
        <v>12977.409021844027</v>
      </c>
      <c r="F44" s="10"/>
      <c r="G44" s="10">
        <f>BI43</f>
        <v>24846.960382900837</v>
      </c>
      <c r="H44" s="10">
        <f>BJ43</f>
        <v>39548.335734455803</v>
      </c>
      <c r="I44" s="10">
        <f>SUM(B44:H44)</f>
        <v>133019.86116140115</v>
      </c>
      <c r="J44" s="10"/>
      <c r="K44" s="10"/>
      <c r="N44" t="s">
        <v>69</v>
      </c>
      <c r="O44" s="2">
        <f>O41</f>
        <v>5517.265199959631</v>
      </c>
      <c r="P44" s="2"/>
      <c r="R44" s="9" t="s">
        <v>41</v>
      </c>
      <c r="S44" s="10">
        <f>S43</f>
        <v>28330.419275002987</v>
      </c>
      <c r="T44" s="10"/>
      <c r="U44" s="10">
        <f>U43</f>
        <v>27316.736747197483</v>
      </c>
      <c r="V44" s="10">
        <f>V43</f>
        <v>12977.409021844027</v>
      </c>
      <c r="W44" s="10"/>
      <c r="X44" s="10">
        <f>X43</f>
        <v>24846.960382900837</v>
      </c>
      <c r="Y44" s="10">
        <f>Y43</f>
        <v>39548.335734455803</v>
      </c>
      <c r="Z44" s="10">
        <f>SUM(S44:Y44)</f>
        <v>133019.86116140115</v>
      </c>
      <c r="AA44" s="10"/>
      <c r="AB44" s="10"/>
      <c r="AD44" s="40"/>
      <c r="AE44" s="40"/>
      <c r="AK44" s="7"/>
    </row>
    <row r="45" spans="1:65" x14ac:dyDescent="0.55000000000000004">
      <c r="A45" s="11" t="s">
        <v>28</v>
      </c>
      <c r="I45" s="6">
        <f>(Z44-Z26)/Z26</f>
        <v>0.33019861161401148</v>
      </c>
      <c r="K45" s="6"/>
      <c r="N45" t="s">
        <v>115</v>
      </c>
      <c r="O45" s="2">
        <f>SUM(O27:O43)</f>
        <v>83469.67485706025</v>
      </c>
      <c r="P45" s="2"/>
      <c r="AB45" s="6"/>
    </row>
    <row r="46" spans="1:65" x14ac:dyDescent="0.55000000000000004">
      <c r="A46" s="1" t="s">
        <v>29</v>
      </c>
      <c r="I46" s="12">
        <f>STDEV(AC27:AC43)</f>
        <v>0.12801408372345144</v>
      </c>
    </row>
    <row r="47" spans="1:65" x14ac:dyDescent="0.55000000000000004">
      <c r="A47" s="1" t="s">
        <v>30</v>
      </c>
      <c r="I47" s="13">
        <f>((1+I45)^(1/16))-1</f>
        <v>1.7992974110954796E-2</v>
      </c>
    </row>
    <row r="48" spans="1:65" x14ac:dyDescent="0.55000000000000004">
      <c r="A48" s="1" t="s">
        <v>45</v>
      </c>
      <c r="I48" s="28">
        <f>AA35</f>
        <v>-37557.854552314689</v>
      </c>
      <c r="O48" s="2"/>
      <c r="P48" s="2"/>
    </row>
    <row r="49" spans="1:9" x14ac:dyDescent="0.55000000000000004">
      <c r="A49" s="1" t="s">
        <v>46</v>
      </c>
      <c r="I49" s="29">
        <f>AB35</f>
        <v>-0.30709285656811741</v>
      </c>
    </row>
    <row r="50" spans="1:9" x14ac:dyDescent="0.55000000000000004">
      <c r="A50" s="1" t="s">
        <v>22</v>
      </c>
      <c r="I50" s="2">
        <f>O45</f>
        <v>83469.67485706025</v>
      </c>
    </row>
    <row r="51" spans="1:9" x14ac:dyDescent="0.55000000000000004">
      <c r="A51" s="3" t="s">
        <v>148</v>
      </c>
      <c r="B51" s="3"/>
      <c r="C51" s="3"/>
      <c r="D51" s="3"/>
      <c r="E51" s="3"/>
      <c r="F51" s="3"/>
      <c r="G51" s="3"/>
      <c r="H51" s="3"/>
      <c r="I51" s="30">
        <f>I44-Z44</f>
        <v>0</v>
      </c>
    </row>
    <row r="52" spans="1:9" x14ac:dyDescent="0.55000000000000004">
      <c r="A52" s="3" t="s">
        <v>149</v>
      </c>
      <c r="B52" s="3"/>
      <c r="C52" s="3"/>
      <c r="D52" s="3"/>
      <c r="E52" s="3"/>
      <c r="F52" s="3"/>
      <c r="G52" s="3"/>
      <c r="H52" s="3"/>
      <c r="I52" s="30">
        <f>((SUM(AA27:AA43)))-(I44-I26)</f>
        <v>0</v>
      </c>
    </row>
    <row r="53" spans="1:9" x14ac:dyDescent="0.55000000000000004">
      <c r="A53" s="3" t="s">
        <v>150</v>
      </c>
      <c r="B53" s="3"/>
      <c r="C53" s="3"/>
      <c r="D53" s="3"/>
      <c r="E53" s="3"/>
      <c r="F53" s="3"/>
      <c r="G53" s="3"/>
      <c r="H53" s="3"/>
      <c r="I53" s="30">
        <f>(SUM(O27:O43))-O45</f>
        <v>0</v>
      </c>
    </row>
    <row r="54" spans="1:9" x14ac:dyDescent="0.55000000000000004">
      <c r="A54" s="3" t="s">
        <v>156</v>
      </c>
      <c r="B54" s="3"/>
      <c r="C54" s="3"/>
      <c r="D54" s="3"/>
      <c r="E54" s="3"/>
      <c r="F54" s="3"/>
      <c r="G54" s="3"/>
      <c r="H54" s="3"/>
      <c r="I54" s="66">
        <f>COUNTA(I27:I43)</f>
        <v>17</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Notes</vt:lpstr>
      <vt:lpstr>Summary</vt:lpstr>
      <vt:lpstr>Geometric Fund Returns</vt:lpstr>
      <vt:lpstr>Non-Rebalanced Portfolio</vt:lpstr>
      <vt:lpstr>Rebalanced Portfolio</vt:lpstr>
      <vt:lpstr>Panic Portfolio</vt:lpstr>
      <vt:lpstr>4% Withdrawals-No Rebalancing</vt:lpstr>
      <vt:lpstr>4% Withdrawals-Rebalanced</vt:lpstr>
      <vt:lpstr>4% Withdrawals-Panic</vt:lpstr>
      <vt:lpstr>Chart Data</vt:lpstr>
      <vt:lpstr>Staying Invested Chart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2016-02-16T20:19:56Z</cp:lastPrinted>
  <dcterms:created xsi:type="dcterms:W3CDTF">2014-01-10T23:26:08Z</dcterms:created>
  <dcterms:modified xsi:type="dcterms:W3CDTF">2017-02-07T13:57:40Z</dcterms:modified>
</cp:coreProperties>
</file>